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4910" windowHeight="7245" activeTab="0"/>
  </bookViews>
  <sheets>
    <sheet name="Hoja2" sheetId="1" r:id="rId1"/>
    <sheet name="Hoja1" sheetId="2" r:id="rId2"/>
    <sheet name="Hoja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VAT</author>
    <author>Josep</author>
  </authors>
  <commentList>
    <comment ref="L11" authorId="0">
      <text>
        <r>
          <rPr>
            <b/>
            <sz val="8"/>
            <rFont val="Tahoma"/>
            <family val="2"/>
          </rPr>
          <t>VAT: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VAT:</t>
        </r>
        <r>
          <rPr>
            <sz val="8"/>
            <rFont val="Tahoma"/>
            <family val="2"/>
          </rPr>
          <t xml:space="preserve">
794,99 candados seguridad
253,11 recambios maq contar
1640 mobles ursus
736 maq contar
</t>
        </r>
      </text>
    </comment>
    <comment ref="A41" authorId="1">
      <text>
        <r>
          <rPr>
            <b/>
            <sz val="9"/>
            <rFont val="Tahoma"/>
            <family val="2"/>
          </rPr>
          <t>Josep:</t>
        </r>
        <r>
          <rPr>
            <sz val="9"/>
            <rFont val="Tahoma"/>
            <family val="2"/>
          </rPr>
          <t xml:space="preserve">
 en el mes d'abril inclou 920,83 del pagament avial</t>
        </r>
      </text>
    </comment>
    <comment ref="G73" authorId="0">
      <text>
        <r>
          <rPr>
            <b/>
            <sz val="8"/>
            <rFont val="Tahoma"/>
            <family val="2"/>
          </rPr>
          <t>VAT:</t>
        </r>
        <r>
          <rPr>
            <sz val="8"/>
            <rFont val="Tahoma"/>
            <family val="2"/>
          </rPr>
          <t xml:space="preserve">
intereses Rumipro 2008</t>
        </r>
      </text>
    </comment>
  </commentList>
</comments>
</file>

<file path=xl/sharedStrings.xml><?xml version="1.0" encoding="utf-8"?>
<sst xmlns="http://schemas.openxmlformats.org/spreadsheetml/2006/main" count="137" uniqueCount="110">
  <si>
    <t>ACMULAT</t>
  </si>
  <si>
    <t>previst</t>
  </si>
  <si>
    <t>real</t>
  </si>
  <si>
    <t>diferencia</t>
  </si>
  <si>
    <t>FINS</t>
  </si>
  <si>
    <t>DESEMBRE</t>
  </si>
  <si>
    <t>nº compte</t>
  </si>
  <si>
    <t>1 trimestre</t>
  </si>
  <si>
    <t>2º trimestre</t>
  </si>
  <si>
    <t>juliol-09</t>
  </si>
  <si>
    <t>TOTAL ANY 09</t>
  </si>
  <si>
    <t>%</t>
  </si>
  <si>
    <t>PREVIST</t>
  </si>
  <si>
    <t>REAL</t>
  </si>
  <si>
    <t>DIF</t>
  </si>
  <si>
    <t>DESVIACIO %</t>
  </si>
  <si>
    <t xml:space="preserve">% EJECCUCIO </t>
  </si>
  <si>
    <t>PRESSUPOST</t>
  </si>
  <si>
    <t>7.1</t>
  </si>
  <si>
    <t>7.2</t>
  </si>
  <si>
    <t>COMPRA MATERIAL OFICINA</t>
  </si>
  <si>
    <t>6.1</t>
  </si>
  <si>
    <t>6.2</t>
  </si>
  <si>
    <t>6.3</t>
  </si>
  <si>
    <t>COMPRAS VARIAS</t>
  </si>
  <si>
    <t>6.0/6.6/6.7</t>
  </si>
  <si>
    <t>LOTES NAVIDAD</t>
  </si>
  <si>
    <t>,</t>
  </si>
  <si>
    <t xml:space="preserve">SERVICIOS OTRAS EMPRESAS. </t>
  </si>
  <si>
    <t>607.0</t>
  </si>
  <si>
    <t>607.2</t>
  </si>
  <si>
    <t>ALTRES</t>
  </si>
  <si>
    <t>607.3/607.4/607.5/607,10/607,7/607,8</t>
  </si>
  <si>
    <t>LLOGUER NAU</t>
  </si>
  <si>
    <t>621.0-.621.7</t>
  </si>
  <si>
    <t>RENTING PDA</t>
  </si>
  <si>
    <t>621.2</t>
  </si>
  <si>
    <t>RENTING VEHICLES</t>
  </si>
  <si>
    <t>621.3,4,5.</t>
  </si>
  <si>
    <t>LLOGUER PARKING</t>
  </si>
  <si>
    <t>621.6</t>
  </si>
  <si>
    <t>REPARACIO I CONSERVACIO COTXES I OFICINA</t>
  </si>
  <si>
    <t>622.1/2</t>
  </si>
  <si>
    <t>SERVEIS PROFESSIONALS NOTARIS+REGISTRES+VARIS</t>
  </si>
  <si>
    <t>623.1/2</t>
  </si>
  <si>
    <t>ASSESSORS+GESTORIA</t>
  </si>
  <si>
    <t>623.3/18/19/20/21/24/25/28</t>
  </si>
  <si>
    <t>623.29</t>
  </si>
  <si>
    <t>ASSEGURANCES</t>
  </si>
  <si>
    <t>625.</t>
  </si>
  <si>
    <t>SERVEIS BANCARIS</t>
  </si>
  <si>
    <t>626/ totes</t>
  </si>
  <si>
    <t>PUBLICITAT</t>
  </si>
  <si>
    <t>627.</t>
  </si>
  <si>
    <t>SUMINISTRES. TELEFON.</t>
  </si>
  <si>
    <t>628.</t>
  </si>
  <si>
    <t>SUMINISTRES AIGUA</t>
  </si>
  <si>
    <t>SUMINISTRES LUZ</t>
  </si>
  <si>
    <t>SUMINISTRES MOVIL</t>
  </si>
  <si>
    <t>GASOLINES I VIATGES</t>
  </si>
  <si>
    <t>629.1/2/3/4</t>
  </si>
  <si>
    <t>OTROS GASTOS</t>
  </si>
  <si>
    <t>629.</t>
  </si>
  <si>
    <t>631.</t>
  </si>
  <si>
    <t>IAE I ALTRES TRIBUTS</t>
  </si>
  <si>
    <t>631.1/2/3/5</t>
  </si>
  <si>
    <t>SOUS I SALARIS</t>
  </si>
  <si>
    <t>640.0/640.1</t>
  </si>
  <si>
    <t>SEG. SOCIAL</t>
  </si>
  <si>
    <t>642.</t>
  </si>
  <si>
    <t>PREVISIO PAGUES EXTRES</t>
  </si>
  <si>
    <t>INTERESOS</t>
  </si>
  <si>
    <t>662./662.2</t>
  </si>
  <si>
    <t>AMORT FONS DE COMERÇ</t>
  </si>
  <si>
    <t>681-</t>
  </si>
  <si>
    <t>AMORT EXCLUSIVAS</t>
  </si>
  <si>
    <t>681.1</t>
  </si>
  <si>
    <t>REGUL</t>
  </si>
  <si>
    <t>AMORT  MATERIAL</t>
  </si>
  <si>
    <t>682.</t>
  </si>
  <si>
    <t>INGRESSOS FINANCERS</t>
  </si>
  <si>
    <t>761.totes</t>
  </si>
  <si>
    <t>PERDIDAS VTA FONDOS</t>
  </si>
  <si>
    <t>BENEFICIOS VTA FONDOS</t>
  </si>
  <si>
    <t>INGRESSOS EXTRAORDINARIS</t>
  </si>
  <si>
    <t>RESULTAT ABANS IMPOSTOS</t>
  </si>
  <si>
    <t>PREVISIO ACUMULADA</t>
  </si>
  <si>
    <t>VENDES 1</t>
  </si>
  <si>
    <t xml:space="preserve">VENDES2 </t>
  </si>
  <si>
    <t>COMPRAS A</t>
  </si>
  <si>
    <t>COMPRAS B</t>
  </si>
  <si>
    <t>PAPERS</t>
  </si>
  <si>
    <t>CONTRACTES 1</t>
  </si>
  <si>
    <t>QUOTES</t>
  </si>
  <si>
    <t>TAXES I ALTRES</t>
  </si>
  <si>
    <t>DESPESES BANCARIES 1</t>
  </si>
  <si>
    <t xml:space="preserve">  PREVISIO DE VENDES % EJEC</t>
  </si>
  <si>
    <t>gener-19</t>
  </si>
  <si>
    <t>COMPTE DE RESULTATS PREVISIONAL ANY 2019</t>
  </si>
  <si>
    <t>febrer-19</t>
  </si>
  <si>
    <t>març-19</t>
  </si>
  <si>
    <t>abril-19</t>
  </si>
  <si>
    <t>maig-19</t>
  </si>
  <si>
    <t>juny-19</t>
  </si>
  <si>
    <t>agost 19</t>
  </si>
  <si>
    <t>set-19</t>
  </si>
  <si>
    <t>oct-19</t>
  </si>
  <si>
    <t>nov-19</t>
  </si>
  <si>
    <t>des-19</t>
  </si>
  <si>
    <t>ALTRES SERVEIS EXTERNS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</si>
</sst>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00\ _€_-;\-* #,##0.000\ _€_-;_-* &quot;-&quot;??\ _€_-;_-@_-"/>
    <numFmt numFmtId="166" formatCode="0.000%"/>
    <numFmt numFmtId="167" formatCode="#,##0.00_ ;\-#,##0.00\ "/>
    <numFmt numFmtId="168" formatCode="_-* #,##0.0000\ _€_-;\-* #,##0.00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36"/>
      <name val="Arial"/>
      <family val="2"/>
    </font>
    <font>
      <sz val="10"/>
      <color indexed="4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7030A0"/>
      <name val="Arial"/>
      <family val="2"/>
    </font>
    <font>
      <sz val="10"/>
      <color rgb="FF00B0F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43" fontId="2" fillId="0" borderId="0" xfId="46" applyFont="1" applyAlignment="1">
      <alignment/>
    </xf>
    <xf numFmtId="43" fontId="3" fillId="0" borderId="0" xfId="46" applyFont="1" applyAlignment="1">
      <alignment/>
    </xf>
    <xf numFmtId="43" fontId="0" fillId="0" borderId="0" xfId="46" applyFont="1" applyAlignment="1">
      <alignment/>
    </xf>
    <xf numFmtId="43" fontId="3" fillId="0" borderId="0" xfId="46" applyFont="1" applyAlignment="1">
      <alignment horizontal="center"/>
    </xf>
    <xf numFmtId="164" fontId="3" fillId="0" borderId="0" xfId="52" applyNumberFormat="1" applyFont="1" applyAlignment="1">
      <alignment horizontal="center"/>
    </xf>
    <xf numFmtId="165" fontId="3" fillId="0" borderId="0" xfId="46" applyNumberFormat="1" applyFont="1" applyAlignment="1">
      <alignment horizontal="center"/>
    </xf>
    <xf numFmtId="43" fontId="4" fillId="0" borderId="0" xfId="46" applyFont="1" applyAlignment="1">
      <alignment/>
    </xf>
    <xf numFmtId="43" fontId="5" fillId="0" borderId="0" xfId="46" applyFont="1" applyAlignment="1">
      <alignment/>
    </xf>
    <xf numFmtId="43" fontId="6" fillId="0" borderId="10" xfId="46" applyFont="1" applyBorder="1" applyAlignment="1">
      <alignment/>
    </xf>
    <xf numFmtId="43" fontId="6" fillId="0" borderId="11" xfId="46" applyFont="1" applyBorder="1" applyAlignment="1">
      <alignment/>
    </xf>
    <xf numFmtId="43" fontId="6" fillId="0" borderId="12" xfId="46" applyFont="1" applyBorder="1" applyAlignment="1">
      <alignment/>
    </xf>
    <xf numFmtId="43" fontId="7" fillId="0" borderId="0" xfId="46" applyFont="1" applyAlignment="1">
      <alignment/>
    </xf>
    <xf numFmtId="43" fontId="7" fillId="0" borderId="10" xfId="46" applyFont="1" applyBorder="1" applyAlignment="1">
      <alignment/>
    </xf>
    <xf numFmtId="43" fontId="7" fillId="0" borderId="11" xfId="46" applyFont="1" applyBorder="1" applyAlignment="1">
      <alignment/>
    </xf>
    <xf numFmtId="43" fontId="7" fillId="0" borderId="12" xfId="46" applyFont="1" applyBorder="1" applyAlignment="1">
      <alignment/>
    </xf>
    <xf numFmtId="43" fontId="6" fillId="0" borderId="13" xfId="46" applyFont="1" applyBorder="1" applyAlignment="1">
      <alignment/>
    </xf>
    <xf numFmtId="43" fontId="7" fillId="0" borderId="14" xfId="46" applyFont="1" applyBorder="1" applyAlignment="1">
      <alignment/>
    </xf>
    <xf numFmtId="43" fontId="6" fillId="0" borderId="15" xfId="46" applyFont="1" applyBorder="1" applyAlignment="1">
      <alignment/>
    </xf>
    <xf numFmtId="43" fontId="49" fillId="0" borderId="10" xfId="46" applyFont="1" applyBorder="1" applyAlignment="1">
      <alignment/>
    </xf>
    <xf numFmtId="43" fontId="49" fillId="0" borderId="11" xfId="46" applyFont="1" applyBorder="1" applyAlignment="1">
      <alignment/>
    </xf>
    <xf numFmtId="43" fontId="49" fillId="0" borderId="12" xfId="46" applyFont="1" applyBorder="1" applyAlignment="1">
      <alignment/>
    </xf>
    <xf numFmtId="43" fontId="6" fillId="0" borderId="16" xfId="46" applyFont="1" applyBorder="1" applyAlignment="1">
      <alignment/>
    </xf>
    <xf numFmtId="43" fontId="6" fillId="0" borderId="17" xfId="46" applyFont="1" applyBorder="1" applyAlignment="1">
      <alignment/>
    </xf>
    <xf numFmtId="43" fontId="6" fillId="0" borderId="0" xfId="46" applyFont="1" applyBorder="1" applyAlignment="1">
      <alignment/>
    </xf>
    <xf numFmtId="43" fontId="6" fillId="0" borderId="18" xfId="46" applyFont="1" applyBorder="1" applyAlignment="1">
      <alignment/>
    </xf>
    <xf numFmtId="43" fontId="2" fillId="0" borderId="13" xfId="46" applyFont="1" applyBorder="1" applyAlignment="1">
      <alignment horizontal="center"/>
    </xf>
    <xf numFmtId="43" fontId="2" fillId="0" borderId="15" xfId="46" applyFont="1" applyBorder="1" applyAlignment="1">
      <alignment horizontal="center"/>
    </xf>
    <xf numFmtId="43" fontId="3" fillId="0" borderId="13" xfId="46" applyFont="1" applyBorder="1" applyAlignment="1" quotePrefix="1">
      <alignment horizontal="center"/>
    </xf>
    <xf numFmtId="43" fontId="3" fillId="0" borderId="16" xfId="46" applyFont="1" applyBorder="1" applyAlignment="1" quotePrefix="1">
      <alignment horizontal="center"/>
    </xf>
    <xf numFmtId="43" fontId="0" fillId="0" borderId="15" xfId="46" applyFont="1" applyBorder="1" applyAlignment="1" quotePrefix="1">
      <alignment horizontal="center"/>
    </xf>
    <xf numFmtId="43" fontId="3" fillId="0" borderId="13" xfId="46" applyFont="1" applyBorder="1" applyAlignment="1">
      <alignment horizontal="center"/>
    </xf>
    <xf numFmtId="43" fontId="3" fillId="0" borderId="16" xfId="46" applyFont="1" applyBorder="1" applyAlignment="1">
      <alignment horizontal="center"/>
    </xf>
    <xf numFmtId="43" fontId="3" fillId="0" borderId="15" xfId="46" applyFont="1" applyBorder="1" applyAlignment="1">
      <alignment horizontal="center"/>
    </xf>
    <xf numFmtId="43" fontId="50" fillId="0" borderId="13" xfId="46" applyFont="1" applyBorder="1" applyAlignment="1">
      <alignment horizontal="center"/>
    </xf>
    <xf numFmtId="43" fontId="50" fillId="0" borderId="16" xfId="46" applyFont="1" applyBorder="1" applyAlignment="1">
      <alignment horizontal="center"/>
    </xf>
    <xf numFmtId="43" fontId="50" fillId="0" borderId="15" xfId="46" applyFont="1" applyBorder="1" applyAlignment="1">
      <alignment horizontal="center"/>
    </xf>
    <xf numFmtId="43" fontId="3" fillId="0" borderId="15" xfId="46" applyFont="1" applyBorder="1" applyAlignment="1" quotePrefix="1">
      <alignment horizontal="center"/>
    </xf>
    <xf numFmtId="43" fontId="3" fillId="0" borderId="17" xfId="46" applyFont="1" applyBorder="1" applyAlignment="1" quotePrefix="1">
      <alignment horizontal="center"/>
    </xf>
    <xf numFmtId="43" fontId="3" fillId="0" borderId="0" xfId="46" applyFont="1" applyBorder="1" applyAlignment="1" quotePrefix="1">
      <alignment horizontal="center"/>
    </xf>
    <xf numFmtId="43" fontId="3" fillId="0" borderId="18" xfId="46" applyFont="1" applyBorder="1" applyAlignment="1" quotePrefix="1">
      <alignment horizontal="center"/>
    </xf>
    <xf numFmtId="43" fontId="6" fillId="0" borderId="16" xfId="46" applyFont="1" applyBorder="1" applyAlignment="1">
      <alignment horizontal="center"/>
    </xf>
    <xf numFmtId="43" fontId="2" fillId="0" borderId="17" xfId="46" applyFont="1" applyBorder="1" applyAlignment="1">
      <alignment/>
    </xf>
    <xf numFmtId="43" fontId="2" fillId="0" borderId="0" xfId="46" applyFont="1" applyBorder="1" applyAlignment="1">
      <alignment/>
    </xf>
    <xf numFmtId="43" fontId="2" fillId="0" borderId="18" xfId="46" applyFont="1" applyBorder="1" applyAlignment="1">
      <alignment/>
    </xf>
    <xf numFmtId="43" fontId="3" fillId="0" borderId="17" xfId="46" applyFont="1" applyBorder="1" applyAlignment="1">
      <alignment/>
    </xf>
    <xf numFmtId="43" fontId="3" fillId="0" borderId="0" xfId="46" applyFont="1" applyBorder="1" applyAlignment="1">
      <alignment/>
    </xf>
    <xf numFmtId="43" fontId="0" fillId="0" borderId="0" xfId="46" applyFont="1" applyBorder="1" applyAlignment="1">
      <alignment/>
    </xf>
    <xf numFmtId="43" fontId="3" fillId="0" borderId="10" xfId="46" applyFont="1" applyBorder="1" applyAlignment="1">
      <alignment/>
    </xf>
    <xf numFmtId="43" fontId="3" fillId="0" borderId="11" xfId="46" applyFont="1" applyBorder="1" applyAlignment="1">
      <alignment/>
    </xf>
    <xf numFmtId="43" fontId="3" fillId="0" borderId="12" xfId="46" applyFont="1" applyBorder="1" applyAlignment="1">
      <alignment/>
    </xf>
    <xf numFmtId="43" fontId="50" fillId="0" borderId="17" xfId="46" applyFont="1" applyBorder="1" applyAlignment="1">
      <alignment/>
    </xf>
    <xf numFmtId="43" fontId="50" fillId="0" borderId="0" xfId="46" applyFont="1" applyBorder="1" applyAlignment="1">
      <alignment/>
    </xf>
    <xf numFmtId="43" fontId="50" fillId="0" borderId="18" xfId="46" applyFont="1" applyBorder="1" applyAlignment="1">
      <alignment/>
    </xf>
    <xf numFmtId="43" fontId="3" fillId="0" borderId="18" xfId="46" applyFont="1" applyBorder="1" applyAlignment="1">
      <alignment/>
    </xf>
    <xf numFmtId="43" fontId="3" fillId="0" borderId="13" xfId="46" applyFont="1" applyBorder="1" applyAlignment="1">
      <alignment/>
    </xf>
    <xf numFmtId="43" fontId="3" fillId="0" borderId="16" xfId="46" applyFont="1" applyBorder="1" applyAlignment="1">
      <alignment/>
    </xf>
    <xf numFmtId="43" fontId="3" fillId="0" borderId="15" xfId="46" applyFont="1" applyBorder="1" applyAlignment="1">
      <alignment/>
    </xf>
    <xf numFmtId="43" fontId="6" fillId="0" borderId="0" xfId="46" applyFont="1" applyAlignment="1">
      <alignment/>
    </xf>
    <xf numFmtId="43" fontId="8" fillId="0" borderId="0" xfId="46" applyFont="1" applyAlignment="1">
      <alignment/>
    </xf>
    <xf numFmtId="166" fontId="50" fillId="0" borderId="18" xfId="52" applyNumberFormat="1" applyFont="1" applyBorder="1" applyAlignment="1">
      <alignment/>
    </xf>
    <xf numFmtId="43" fontId="51" fillId="0" borderId="0" xfId="46" applyFont="1" applyBorder="1" applyAlignment="1">
      <alignment/>
    </xf>
    <xf numFmtId="43" fontId="6" fillId="0" borderId="0" xfId="46" applyFont="1" applyAlignment="1">
      <alignment horizontal="left"/>
    </xf>
    <xf numFmtId="43" fontId="51" fillId="0" borderId="18" xfId="46" applyFont="1" applyBorder="1" applyAlignment="1">
      <alignment/>
    </xf>
    <xf numFmtId="43" fontId="52" fillId="0" borderId="0" xfId="46" applyFont="1" applyBorder="1" applyAlignment="1">
      <alignment/>
    </xf>
    <xf numFmtId="43" fontId="53" fillId="0" borderId="0" xfId="46" applyFont="1" applyBorder="1" applyAlignment="1">
      <alignment/>
    </xf>
    <xf numFmtId="167" fontId="2" fillId="0" borderId="0" xfId="46" applyNumberFormat="1" applyFont="1" applyAlignment="1">
      <alignment horizontal="left"/>
    </xf>
    <xf numFmtId="43" fontId="54" fillId="0" borderId="18" xfId="46" applyFont="1" applyBorder="1" applyAlignment="1">
      <alignment/>
    </xf>
    <xf numFmtId="168" fontId="3" fillId="0" borderId="0" xfId="46" applyNumberFormat="1" applyFont="1" applyAlignment="1">
      <alignment/>
    </xf>
    <xf numFmtId="165" fontId="3" fillId="0" borderId="0" xfId="46" applyNumberFormat="1" applyFont="1" applyAlignment="1">
      <alignment/>
    </xf>
    <xf numFmtId="43" fontId="2" fillId="0" borderId="0" xfId="46" applyFont="1" applyAlignment="1">
      <alignment/>
    </xf>
    <xf numFmtId="43" fontId="8" fillId="0" borderId="0" xfId="46" applyFont="1" applyBorder="1" applyAlignment="1">
      <alignment/>
    </xf>
    <xf numFmtId="2" fontId="2" fillId="0" borderId="0" xfId="46" applyNumberFormat="1" applyFont="1" applyAlignment="1">
      <alignment horizontal="left"/>
    </xf>
    <xf numFmtId="43" fontId="3" fillId="0" borderId="19" xfId="46" applyFont="1" applyBorder="1" applyAlignment="1">
      <alignment/>
    </xf>
    <xf numFmtId="43" fontId="3" fillId="0" borderId="20" xfId="46" applyFont="1" applyBorder="1" applyAlignment="1">
      <alignment/>
    </xf>
    <xf numFmtId="43" fontId="3" fillId="0" borderId="21" xfId="46" applyFont="1" applyBorder="1" applyAlignment="1">
      <alignment/>
    </xf>
    <xf numFmtId="43" fontId="6" fillId="0" borderId="21" xfId="46" applyFont="1" applyBorder="1" applyAlignment="1">
      <alignment/>
    </xf>
    <xf numFmtId="43" fontId="2" fillId="0" borderId="19" xfId="46" applyFont="1" applyBorder="1" applyAlignment="1">
      <alignment/>
    </xf>
    <xf numFmtId="43" fontId="2" fillId="0" borderId="20" xfId="46" applyFont="1" applyBorder="1" applyAlignment="1">
      <alignment/>
    </xf>
    <xf numFmtId="43" fontId="2" fillId="0" borderId="21" xfId="46" applyFont="1" applyBorder="1" applyAlignment="1">
      <alignment/>
    </xf>
    <xf numFmtId="43" fontId="0" fillId="0" borderId="20" xfId="46" applyFont="1" applyBorder="1" applyAlignment="1">
      <alignment/>
    </xf>
    <xf numFmtId="43" fontId="52" fillId="0" borderId="19" xfId="46" applyFont="1" applyBorder="1" applyAlignment="1">
      <alignment/>
    </xf>
    <xf numFmtId="43" fontId="52" fillId="0" borderId="20" xfId="46" applyFont="1" applyBorder="1" applyAlignment="1">
      <alignment/>
    </xf>
    <xf numFmtId="43" fontId="52" fillId="0" borderId="21" xfId="46" applyFont="1" applyBorder="1" applyAlignment="1">
      <alignment/>
    </xf>
    <xf numFmtId="43" fontId="50" fillId="0" borderId="19" xfId="46" applyFont="1" applyBorder="1" applyAlignment="1">
      <alignment/>
    </xf>
    <xf numFmtId="43" fontId="50" fillId="0" borderId="20" xfId="46" applyFont="1" applyBorder="1" applyAlignment="1">
      <alignment/>
    </xf>
    <xf numFmtId="43" fontId="50" fillId="0" borderId="21" xfId="46" applyFont="1" applyBorder="1" applyAlignment="1">
      <alignment/>
    </xf>
    <xf numFmtId="10" fontId="2" fillId="0" borderId="0" xfId="52" applyNumberFormat="1" applyFont="1" applyBorder="1" applyAlignment="1">
      <alignment/>
    </xf>
    <xf numFmtId="10" fontId="3" fillId="0" borderId="0" xfId="46" applyNumberFormat="1" applyFont="1" applyAlignment="1">
      <alignment/>
    </xf>
    <xf numFmtId="13" fontId="2" fillId="0" borderId="0" xfId="46" applyNumberFormat="1" applyFont="1" applyAlignment="1">
      <alignment/>
    </xf>
    <xf numFmtId="168" fontId="2" fillId="0" borderId="0" xfId="46" applyNumberFormat="1" applyFont="1" applyAlignment="1">
      <alignment/>
    </xf>
    <xf numFmtId="43" fontId="2" fillId="0" borderId="16" xfId="46" applyFont="1" applyBorder="1" applyAlignment="1">
      <alignment horizontal="center"/>
    </xf>
    <xf numFmtId="166" fontId="3" fillId="0" borderId="0" xfId="52" applyNumberFormat="1" applyFont="1" applyBorder="1" applyAlignment="1">
      <alignment/>
    </xf>
    <xf numFmtId="9" fontId="2" fillId="0" borderId="0" xfId="52" applyFont="1" applyAlignment="1">
      <alignment/>
    </xf>
    <xf numFmtId="9" fontId="51" fillId="0" borderId="0" xfId="52" applyFont="1" applyBorder="1" applyAlignment="1">
      <alignment/>
    </xf>
    <xf numFmtId="166" fontId="2" fillId="0" borderId="17" xfId="52" applyNumberFormat="1" applyFont="1" applyBorder="1" applyAlignment="1">
      <alignment/>
    </xf>
    <xf numFmtId="10" fontId="51" fillId="0" borderId="0" xfId="52" applyNumberFormat="1" applyFont="1" applyBorder="1" applyAlignment="1">
      <alignment/>
    </xf>
    <xf numFmtId="43" fontId="0" fillId="0" borderId="16" xfId="46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p\Documents\BOIMATIC\tancaments\2010\PRESSUPOST%20ANY%202010%20PREVISIO%20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SUPOST ANY 2010"/>
      <sheetName val="PREVISIO VENDES"/>
      <sheetName val="Hoja1"/>
      <sheetName val="pressupost 09"/>
      <sheetName val="Hoja3"/>
      <sheetName val="pig real 2007"/>
      <sheetName val="Hoja4"/>
    </sheetNames>
    <sheetDataSet>
      <sheetData sheetId="1">
        <row r="25">
          <cell r="N25">
            <v>4105.8162214845015</v>
          </cell>
        </row>
        <row r="26">
          <cell r="N26">
            <v>240059.8367980435</v>
          </cell>
        </row>
        <row r="33">
          <cell r="D33">
            <v>2679.04</v>
          </cell>
          <cell r="E33">
            <v>2781.93</v>
          </cell>
          <cell r="F33">
            <v>3551.39</v>
          </cell>
          <cell r="G33">
            <v>3220.62</v>
          </cell>
          <cell r="H33">
            <v>2678</v>
          </cell>
          <cell r="I33">
            <v>2695</v>
          </cell>
          <cell r="J33">
            <v>2410.88</v>
          </cell>
          <cell r="K33">
            <v>3573.778</v>
          </cell>
          <cell r="L33">
            <v>4492.41</v>
          </cell>
          <cell r="M33">
            <v>3827.25</v>
          </cell>
        </row>
        <row r="34">
          <cell r="E34">
            <v>192737.4</v>
          </cell>
          <cell r="F34">
            <v>229975.8</v>
          </cell>
          <cell r="G34">
            <v>227925.1</v>
          </cell>
          <cell r="H34">
            <v>223786.6</v>
          </cell>
          <cell r="I34">
            <v>251787.6</v>
          </cell>
          <cell r="J34">
            <v>162439.6</v>
          </cell>
          <cell r="K34">
            <v>234348.8</v>
          </cell>
          <cell r="L34">
            <v>244964</v>
          </cell>
          <cell r="M34">
            <v>227336.3</v>
          </cell>
        </row>
        <row r="38">
          <cell r="B38">
            <v>0.05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H85"/>
  <sheetViews>
    <sheetView tabSelected="1" zoomScale="110" zoomScaleNormal="11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0" sqref="A20"/>
    </sheetView>
  </sheetViews>
  <sheetFormatPr defaultColWidth="11.421875" defaultRowHeight="15"/>
  <cols>
    <col min="1" max="1" width="11.421875" style="1" customWidth="1"/>
    <col min="2" max="2" width="12.8515625" style="1" bestFit="1" customWidth="1"/>
    <col min="3" max="3" width="9.00390625" style="1" customWidth="1"/>
    <col min="4" max="4" width="12.140625" style="1" bestFit="1" customWidth="1"/>
    <col min="5" max="5" width="0.13671875" style="1" customWidth="1"/>
    <col min="6" max="10" width="14.57421875" style="1" customWidth="1"/>
    <col min="11" max="12" width="14.57421875" style="2" customWidth="1"/>
    <col min="13" max="13" width="14.57421875" style="3" customWidth="1"/>
    <col min="14" max="49" width="14.57421875" style="2" customWidth="1"/>
    <col min="50" max="51" width="14.57421875" style="2" hidden="1" customWidth="1"/>
    <col min="52" max="56" width="14.57421875" style="2" customWidth="1"/>
    <col min="57" max="57" width="14.57421875" style="5" customWidth="1"/>
    <col min="58" max="58" width="14.57421875" style="6" customWidth="1"/>
    <col min="59" max="60" width="11.421875" style="2" customWidth="1"/>
    <col min="61" max="16384" width="11.421875" style="3" customWidth="1"/>
  </cols>
  <sheetData>
    <row r="1" ht="15"/>
    <row r="2" ht="15"/>
    <row r="3" spans="6:45" ht="15.75" thickBot="1">
      <c r="F3" s="93"/>
      <c r="AS3" s="2">
        <f>829000/2430091</f>
        <v>0.34113948819200596</v>
      </c>
    </row>
    <row r="4" spans="1:56" ht="24" thickBot="1">
      <c r="A4" s="7"/>
      <c r="F4" s="8" t="s">
        <v>98</v>
      </c>
      <c r="G4" s="8"/>
      <c r="H4" s="8"/>
      <c r="I4" s="8"/>
      <c r="J4" s="8"/>
      <c r="AC4" s="2">
        <f>+AD10*1.05</f>
        <v>1356072.2595000002</v>
      </c>
      <c r="AZ4" s="9" t="s">
        <v>0</v>
      </c>
      <c r="BA4" s="10"/>
      <c r="BB4" s="11"/>
      <c r="BC4" s="24"/>
      <c r="BD4" s="24"/>
    </row>
    <row r="5" spans="1:56" ht="13.5" thickBot="1">
      <c r="A5" s="12"/>
      <c r="B5" s="12"/>
      <c r="C5" s="12"/>
      <c r="D5" s="12"/>
      <c r="E5" s="12"/>
      <c r="F5" s="13" t="s">
        <v>1</v>
      </c>
      <c r="G5" s="14" t="s">
        <v>2</v>
      </c>
      <c r="H5" s="15" t="str">
        <f>+M5</f>
        <v>diferencia</v>
      </c>
      <c r="I5" s="14"/>
      <c r="J5" s="14"/>
      <c r="K5" s="9" t="str">
        <f>+F5</f>
        <v>previst</v>
      </c>
      <c r="L5" s="16" t="s">
        <v>2</v>
      </c>
      <c r="M5" s="17" t="str">
        <f>+P5</f>
        <v>diferencia</v>
      </c>
      <c r="N5" s="16" t="str">
        <f>+T5</f>
        <v>previst</v>
      </c>
      <c r="O5" s="18" t="s">
        <v>2</v>
      </c>
      <c r="P5" s="11" t="str">
        <f>+V5</f>
        <v>diferencia</v>
      </c>
      <c r="Q5" s="19" t="str">
        <f>+N5</f>
        <v>previst</v>
      </c>
      <c r="R5" s="20" t="str">
        <f>+O5</f>
        <v>real</v>
      </c>
      <c r="S5" s="21" t="str">
        <f>+P5</f>
        <v>diferencia</v>
      </c>
      <c r="T5" s="10" t="s">
        <v>1</v>
      </c>
      <c r="U5" s="10" t="s">
        <v>2</v>
      </c>
      <c r="V5" s="11" t="s">
        <v>3</v>
      </c>
      <c r="W5" s="9" t="str">
        <f>+T5</f>
        <v>previst</v>
      </c>
      <c r="X5" s="10" t="s">
        <v>2</v>
      </c>
      <c r="Y5" s="11" t="str">
        <f>+V5</f>
        <v>diferencia</v>
      </c>
      <c r="Z5" s="9" t="str">
        <f>+W5</f>
        <v>previst</v>
      </c>
      <c r="AA5" s="10" t="s">
        <v>2</v>
      </c>
      <c r="AB5" s="11" t="str">
        <f>+Y5</f>
        <v>diferencia</v>
      </c>
      <c r="AC5" s="19" t="str">
        <f>+Z5</f>
        <v>previst</v>
      </c>
      <c r="AD5" s="20" t="str">
        <f>+AA5</f>
        <v>real</v>
      </c>
      <c r="AE5" s="21" t="str">
        <f>+AB5</f>
        <v>diferencia</v>
      </c>
      <c r="AF5" s="9"/>
      <c r="AG5" s="10" t="s">
        <v>2</v>
      </c>
      <c r="AH5" s="11" t="s">
        <v>3</v>
      </c>
      <c r="AI5" s="16"/>
      <c r="AJ5" s="22" t="s">
        <v>2</v>
      </c>
      <c r="AK5" s="18" t="s">
        <v>3</v>
      </c>
      <c r="AL5" s="9"/>
      <c r="AM5" s="22" t="s">
        <v>2</v>
      </c>
      <c r="AN5" s="18" t="s">
        <v>3</v>
      </c>
      <c r="AO5" s="16" t="str">
        <f>+AR5</f>
        <v>previst</v>
      </c>
      <c r="AP5" s="22" t="s">
        <v>2</v>
      </c>
      <c r="AQ5" s="18" t="s">
        <v>3</v>
      </c>
      <c r="AR5" s="16" t="str">
        <f>+AU5</f>
        <v>previst</v>
      </c>
      <c r="AS5" s="22" t="s">
        <v>2</v>
      </c>
      <c r="AT5" s="18" t="s">
        <v>3</v>
      </c>
      <c r="AU5" s="10" t="s">
        <v>1</v>
      </c>
      <c r="AV5" s="10" t="s">
        <v>2</v>
      </c>
      <c r="AW5" s="11" t="str">
        <f>+AT5</f>
        <v>diferencia</v>
      </c>
      <c r="AX5" s="2" t="s">
        <v>1</v>
      </c>
      <c r="AZ5" s="23" t="s">
        <v>4</v>
      </c>
      <c r="BA5" s="24" t="s">
        <v>5</v>
      </c>
      <c r="BB5" s="25"/>
      <c r="BC5" s="24" t="s">
        <v>13</v>
      </c>
      <c r="BD5" s="24" t="s">
        <v>12</v>
      </c>
    </row>
    <row r="6" spans="5:58" ht="15.75" thickBot="1">
      <c r="E6" s="1" t="s">
        <v>6</v>
      </c>
      <c r="F6" s="26" t="s">
        <v>97</v>
      </c>
      <c r="G6" s="97" t="s">
        <v>97</v>
      </c>
      <c r="H6" s="27"/>
      <c r="I6" s="91"/>
      <c r="J6" s="91"/>
      <c r="K6" s="28" t="s">
        <v>99</v>
      </c>
      <c r="L6" s="29" t="s">
        <v>99</v>
      </c>
      <c r="M6" s="30" t="str">
        <f>+L6</f>
        <v>febrer-19</v>
      </c>
      <c r="N6" s="31" t="s">
        <v>100</v>
      </c>
      <c r="O6" s="32" t="s">
        <v>100</v>
      </c>
      <c r="P6" s="33" t="str">
        <f>+O6</f>
        <v>març-19</v>
      </c>
      <c r="Q6" s="34" t="s">
        <v>7</v>
      </c>
      <c r="R6" s="35" t="str">
        <f>+Q6</f>
        <v>1 trimestre</v>
      </c>
      <c r="S6" s="36" t="str">
        <f>+R6</f>
        <v>1 trimestre</v>
      </c>
      <c r="T6" s="29" t="s">
        <v>101</v>
      </c>
      <c r="U6" s="29" t="str">
        <f>+T6</f>
        <v>abril-19</v>
      </c>
      <c r="V6" s="37" t="str">
        <f>+U6</f>
        <v>abril-19</v>
      </c>
      <c r="W6" s="31" t="s">
        <v>102</v>
      </c>
      <c r="X6" s="32" t="s">
        <v>102</v>
      </c>
      <c r="Y6" s="33" t="str">
        <f>+X6</f>
        <v>maig-19</v>
      </c>
      <c r="Z6" s="31" t="s">
        <v>103</v>
      </c>
      <c r="AA6" s="32" t="str">
        <f>+Z6</f>
        <v>juny-19</v>
      </c>
      <c r="AB6" s="33" t="str">
        <f>+AA6</f>
        <v>juny-19</v>
      </c>
      <c r="AC6" s="34" t="s">
        <v>8</v>
      </c>
      <c r="AD6" s="35" t="str">
        <f>+AC6</f>
        <v>2º trimestre</v>
      </c>
      <c r="AE6" s="36" t="str">
        <f>+AD6</f>
        <v>2º trimestre</v>
      </c>
      <c r="AF6" s="31" t="s">
        <v>9</v>
      </c>
      <c r="AG6" s="29" t="str">
        <f>+AF6</f>
        <v>juliol-09</v>
      </c>
      <c r="AH6" s="37" t="str">
        <f>+AG6</f>
        <v>juliol-09</v>
      </c>
      <c r="AI6" s="29" t="s">
        <v>104</v>
      </c>
      <c r="AJ6" s="29" t="str">
        <f>+AI6</f>
        <v>agost 19</v>
      </c>
      <c r="AK6" s="37" t="str">
        <f>+AJ6</f>
        <v>agost 19</v>
      </c>
      <c r="AL6" s="31" t="s">
        <v>105</v>
      </c>
      <c r="AM6" s="29" t="str">
        <f>+AL6</f>
        <v>set-19</v>
      </c>
      <c r="AN6" s="37" t="str">
        <f>+AM6</f>
        <v>set-19</v>
      </c>
      <c r="AO6" s="38" t="s">
        <v>106</v>
      </c>
      <c r="AP6" s="39" t="str">
        <f>+AO6</f>
        <v>oct-19</v>
      </c>
      <c r="AQ6" s="40" t="str">
        <f>+AP6</f>
        <v>oct-19</v>
      </c>
      <c r="AR6" s="28" t="s">
        <v>107</v>
      </c>
      <c r="AS6" s="29" t="str">
        <f>+AR6</f>
        <v>nov-19</v>
      </c>
      <c r="AT6" s="37" t="str">
        <f>+AS6</f>
        <v>nov-19</v>
      </c>
      <c r="AU6" s="32" t="s">
        <v>108</v>
      </c>
      <c r="AV6" s="32" t="str">
        <f>+AU6</f>
        <v>des-19</v>
      </c>
      <c r="AW6" s="33" t="str">
        <f>+AV6</f>
        <v>des-19</v>
      </c>
      <c r="AX6" s="41" t="s">
        <v>10</v>
      </c>
      <c r="AY6" s="41" t="s">
        <v>11</v>
      </c>
      <c r="AZ6" s="23" t="s">
        <v>12</v>
      </c>
      <c r="BA6" s="24" t="s">
        <v>13</v>
      </c>
      <c r="BB6" s="25" t="s">
        <v>14</v>
      </c>
      <c r="BC6" s="24" t="s">
        <v>11</v>
      </c>
      <c r="BD6" s="24" t="s">
        <v>11</v>
      </c>
      <c r="BE6" s="5" t="s">
        <v>15</v>
      </c>
      <c r="BF6" s="6" t="s">
        <v>16</v>
      </c>
    </row>
    <row r="7" spans="6:58" ht="15.75" thickBot="1">
      <c r="F7" s="42"/>
      <c r="G7" s="43"/>
      <c r="H7" s="44"/>
      <c r="I7" s="43"/>
      <c r="J7" s="43"/>
      <c r="K7" s="45"/>
      <c r="L7" s="46"/>
      <c r="M7" s="47"/>
      <c r="N7" s="48"/>
      <c r="O7" s="49"/>
      <c r="P7" s="50"/>
      <c r="Q7" s="51"/>
      <c r="R7" s="52"/>
      <c r="S7" s="53"/>
      <c r="T7" s="46"/>
      <c r="U7" s="46"/>
      <c r="V7" s="54"/>
      <c r="W7" s="45"/>
      <c r="X7" s="46"/>
      <c r="Y7" s="54"/>
      <c r="Z7" s="48"/>
      <c r="AA7" s="49"/>
      <c r="AB7" s="50"/>
      <c r="AC7" s="51"/>
      <c r="AD7" s="52"/>
      <c r="AE7" s="53"/>
      <c r="AF7" s="48"/>
      <c r="AG7" s="49"/>
      <c r="AH7" s="50"/>
      <c r="AI7" s="48"/>
      <c r="AJ7" s="49"/>
      <c r="AK7" s="50"/>
      <c r="AL7" s="45"/>
      <c r="AM7" s="49"/>
      <c r="AN7" s="50"/>
      <c r="AO7" s="45"/>
      <c r="AP7" s="46"/>
      <c r="AQ7" s="54"/>
      <c r="AR7" s="48"/>
      <c r="AS7" s="49"/>
      <c r="AT7" s="50"/>
      <c r="AU7" s="55"/>
      <c r="AV7" s="56"/>
      <c r="AW7" s="57"/>
      <c r="AX7" s="11"/>
      <c r="AY7" s="58"/>
      <c r="AZ7" s="48"/>
      <c r="BA7" s="49"/>
      <c r="BB7" s="50"/>
      <c r="BC7" s="46"/>
      <c r="BD7" s="46"/>
      <c r="BF7" s="6" t="s">
        <v>17</v>
      </c>
    </row>
    <row r="8" spans="1:60" s="59" customFormat="1" ht="12.75">
      <c r="A8" s="1"/>
      <c r="B8" s="1"/>
      <c r="C8" s="1"/>
      <c r="D8" s="1"/>
      <c r="E8" s="1"/>
      <c r="F8" s="42">
        <f>+F11+F10</f>
        <v>213900</v>
      </c>
      <c r="G8" s="43">
        <f>+G10+G11</f>
        <v>218800</v>
      </c>
      <c r="H8" s="44">
        <f>F8-G8</f>
        <v>-4900</v>
      </c>
      <c r="I8" s="43"/>
      <c r="J8" s="43"/>
      <c r="K8" s="45">
        <v>254078</v>
      </c>
      <c r="L8" s="46">
        <v>245687</v>
      </c>
      <c r="M8" s="43">
        <f>+K8-L8</f>
        <v>8391</v>
      </c>
      <c r="N8" s="45">
        <v>215678.98</v>
      </c>
      <c r="O8" s="46">
        <v>240987</v>
      </c>
      <c r="P8" s="44">
        <f>+N8-O8</f>
        <v>-25308.01999999999</v>
      </c>
      <c r="Q8" s="51">
        <f aca="true" t="shared" si="0" ref="Q8:Q39">+F8+K8+N8</f>
        <v>683656.98</v>
      </c>
      <c r="R8" s="52">
        <f aca="true" t="shared" si="1" ref="R8:R39">+G8+L8+O8</f>
        <v>705474</v>
      </c>
      <c r="S8" s="53">
        <f>+Q8-R8</f>
        <v>-21817.02000000002</v>
      </c>
      <c r="T8" s="46">
        <f>+T11+T10</f>
        <v>245203.5495</v>
      </c>
      <c r="U8" s="46">
        <f>+U11+U10</f>
        <v>213338.89</v>
      </c>
      <c r="V8" s="54">
        <f>+T8-U8</f>
        <v>31864.65949999998</v>
      </c>
      <c r="W8" s="45">
        <f>+W11+W10</f>
        <v>242703.00600000002</v>
      </c>
      <c r="X8" s="46">
        <f>+X11+X10</f>
        <v>210081.5</v>
      </c>
      <c r="Y8" s="54">
        <f>+W8-X8</f>
        <v>32621.506000000023</v>
      </c>
      <c r="Z8" s="45">
        <f>+Z11+Z10</f>
        <v>237787.83000000002</v>
      </c>
      <c r="AA8" s="46">
        <f>+AA11+AA10</f>
        <v>226130.27000000002</v>
      </c>
      <c r="AB8" s="54">
        <f>+Z8-AA8</f>
        <v>11657.559999999998</v>
      </c>
      <c r="AC8" s="51">
        <f aca="true" t="shared" si="2" ref="AC8:AC39">+Z8+W8+T8+F8+K8+N8</f>
        <v>1409351.3654999998</v>
      </c>
      <c r="AD8" s="52">
        <f aca="true" t="shared" si="3" ref="AD8:AD39">+AA8+X8+U8+G8+L8+O8</f>
        <v>1355024.6600000001</v>
      </c>
      <c r="AE8" s="53">
        <f>+AC8-AD8</f>
        <v>54326.70549999969</v>
      </c>
      <c r="AF8" s="45">
        <f>+AF11+AF10</f>
        <v>267206.73000000004</v>
      </c>
      <c r="AG8" s="46">
        <f>+AG11+AG10</f>
        <v>252921.81</v>
      </c>
      <c r="AH8" s="54">
        <f>+AF8-AG8</f>
        <v>14284.920000000042</v>
      </c>
      <c r="AI8" s="45">
        <f>+AI11+AI10</f>
        <v>173093.00400000002</v>
      </c>
      <c r="AJ8" s="46">
        <f>+AJ11+AJ10</f>
        <v>185058.8</v>
      </c>
      <c r="AK8" s="54">
        <f>+AI8-AJ8</f>
        <v>-11965.795999999973</v>
      </c>
      <c r="AL8" s="45">
        <f>+AL11+AL10</f>
        <v>249818.7069</v>
      </c>
      <c r="AM8" s="46">
        <f>+AM11+AM10</f>
        <v>250068.08</v>
      </c>
      <c r="AN8" s="54">
        <f>+AL8-AM8</f>
        <v>-249.37309999999707</v>
      </c>
      <c r="AO8" s="45">
        <f>+AO11+AO10</f>
        <v>261929.2305</v>
      </c>
      <c r="AP8" s="46">
        <v>275987</v>
      </c>
      <c r="AQ8" s="54">
        <f>+AO8-AP8</f>
        <v>-14057.769499999995</v>
      </c>
      <c r="AR8" s="45">
        <v>256786</v>
      </c>
      <c r="AS8" s="43">
        <v>268956</v>
      </c>
      <c r="AT8" s="54">
        <f>+AR8-AS8</f>
        <v>-12170</v>
      </c>
      <c r="AU8" s="45">
        <v>278987</v>
      </c>
      <c r="AV8" s="43">
        <v>290675</v>
      </c>
      <c r="AW8" s="54">
        <f>+AU8-AV8</f>
        <v>-11688</v>
      </c>
      <c r="AX8" s="25">
        <f>+F8+K8+N8+T8+W8+Z8+AF8+AI8+AL8+AO8+AR8+AU8</f>
        <v>2897172.0369</v>
      </c>
      <c r="AY8" s="58"/>
      <c r="AZ8" s="45">
        <f aca="true" t="shared" si="4" ref="AZ8:AZ39">+F8+K8+N8+T8+W8+Z8+AF8+AI8+AL8+AO8+AR8+AU8</f>
        <v>2897172.0369</v>
      </c>
      <c r="BA8" s="46">
        <f aca="true" t="shared" si="5" ref="BA8:BA39">+G8+L8+O8+U8+X8+AA8+AG8+AJ8+AM8+AP8+AS8+AV8</f>
        <v>2878691.3500000006</v>
      </c>
      <c r="BB8" s="54">
        <f>+AZ8-BA8</f>
        <v>18480.686899999622</v>
      </c>
      <c r="BC8" s="92"/>
      <c r="BD8" s="46"/>
      <c r="BE8" s="5">
        <f>+(AZ8-BA8)/AZ8</f>
        <v>0.006378871073108285</v>
      </c>
      <c r="BF8" s="6">
        <f>+BA8/AZ8</f>
        <v>0.9936211289268917</v>
      </c>
      <c r="BG8" s="2"/>
      <c r="BH8" s="2"/>
    </row>
    <row r="9" spans="6:56" ht="12.75">
      <c r="F9" s="42"/>
      <c r="G9" s="43"/>
      <c r="H9" s="44">
        <f aca="true" t="shared" si="6" ref="H9:H72">F9-G9</f>
        <v>0</v>
      </c>
      <c r="I9" s="43"/>
      <c r="J9" s="43"/>
      <c r="K9" s="45"/>
      <c r="L9" s="46"/>
      <c r="M9" s="43">
        <f aca="true" t="shared" si="7" ref="M9:M72">+K9-L9</f>
        <v>0</v>
      </c>
      <c r="N9" s="45"/>
      <c r="O9" s="46"/>
      <c r="P9" s="44">
        <f aca="true" t="shared" si="8" ref="P9:P72">+N9-O9</f>
        <v>0</v>
      </c>
      <c r="Q9" s="51">
        <f t="shared" si="0"/>
        <v>0</v>
      </c>
      <c r="R9" s="52">
        <f t="shared" si="1"/>
        <v>0</v>
      </c>
      <c r="S9" s="53">
        <f aca="true" t="shared" si="9" ref="S9:S72">+Q9-R9</f>
        <v>0</v>
      </c>
      <c r="T9" s="46"/>
      <c r="U9" s="46"/>
      <c r="V9" s="54">
        <f aca="true" t="shared" si="10" ref="V9:V77">+T9-U9</f>
        <v>0</v>
      </c>
      <c r="W9" s="45"/>
      <c r="X9" s="46"/>
      <c r="Y9" s="54">
        <f aca="true" t="shared" si="11" ref="Y9:Y72">+W9-X9</f>
        <v>0</v>
      </c>
      <c r="Z9" s="45"/>
      <c r="AA9" s="46"/>
      <c r="AB9" s="54">
        <f aca="true" t="shared" si="12" ref="AB9:AB72">+Z9-AA9</f>
        <v>0</v>
      </c>
      <c r="AC9" s="51">
        <f t="shared" si="2"/>
        <v>0</v>
      </c>
      <c r="AD9" s="52">
        <f t="shared" si="3"/>
        <v>0</v>
      </c>
      <c r="AE9" s="60"/>
      <c r="AF9" s="45"/>
      <c r="AG9" s="46"/>
      <c r="AH9" s="54">
        <f aca="true" t="shared" si="13" ref="AH9:AH75">+AF9-AG9</f>
        <v>0</v>
      </c>
      <c r="AI9" s="45"/>
      <c r="AJ9" s="46"/>
      <c r="AK9" s="54">
        <f aca="true" t="shared" si="14" ref="AK9:AK75">+AI9-AJ9</f>
        <v>0</v>
      </c>
      <c r="AL9" s="45"/>
      <c r="AM9" s="46"/>
      <c r="AN9" s="54">
        <f aca="true" t="shared" si="15" ref="AN9:AN75">+AL9-AM9</f>
        <v>0</v>
      </c>
      <c r="AO9" s="45"/>
      <c r="AP9" s="46"/>
      <c r="AQ9" s="54">
        <f aca="true" t="shared" si="16" ref="AQ9:AQ75">+AO9-AP9</f>
        <v>0</v>
      </c>
      <c r="AR9" s="45"/>
      <c r="AS9" s="46"/>
      <c r="AT9" s="54">
        <f aca="true" t="shared" si="17" ref="AT9:AT75">+AR9-AS9</f>
        <v>0</v>
      </c>
      <c r="AU9" s="45"/>
      <c r="AV9" s="46"/>
      <c r="AW9" s="54">
        <f aca="true" t="shared" si="18" ref="AW9:AW72">+AU9-AV9</f>
        <v>0</v>
      </c>
      <c r="AX9" s="25"/>
      <c r="AY9" s="58"/>
      <c r="AZ9" s="45">
        <f t="shared" si="4"/>
        <v>0</v>
      </c>
      <c r="BA9" s="46">
        <f t="shared" si="5"/>
        <v>0</v>
      </c>
      <c r="BB9" s="54">
        <f aca="true" t="shared" si="19" ref="BB9:BB76">+AZ9-BA9</f>
        <v>0</v>
      </c>
      <c r="BC9" s="46"/>
      <c r="BD9" s="46"/>
    </row>
    <row r="10" spans="1:60" s="59" customFormat="1" ht="12.75">
      <c r="A10" s="1" t="s">
        <v>87</v>
      </c>
      <c r="B10" s="1"/>
      <c r="C10" s="1"/>
      <c r="D10" s="1"/>
      <c r="E10" s="1" t="s">
        <v>18</v>
      </c>
      <c r="F10" s="42">
        <v>210000</v>
      </c>
      <c r="G10" s="43">
        <v>215000</v>
      </c>
      <c r="H10" s="44">
        <f t="shared" si="6"/>
        <v>-5000</v>
      </c>
      <c r="I10" s="43"/>
      <c r="J10" s="43"/>
      <c r="K10" s="45">
        <v>201000</v>
      </c>
      <c r="L10" s="46">
        <v>220000</v>
      </c>
      <c r="M10" s="43">
        <f t="shared" si="7"/>
        <v>-19000</v>
      </c>
      <c r="N10" s="45">
        <f>+(+'[1]PREVISIO VENDES'!E34*(1+'[1]PREVISIO VENDES'!B38))</f>
        <v>202374.27</v>
      </c>
      <c r="O10" s="46">
        <v>217190</v>
      </c>
      <c r="P10" s="44">
        <f t="shared" si="8"/>
        <v>-14815.73000000001</v>
      </c>
      <c r="Q10" s="51">
        <f t="shared" si="0"/>
        <v>613374.27</v>
      </c>
      <c r="R10" s="52">
        <f t="shared" si="1"/>
        <v>652190</v>
      </c>
      <c r="S10" s="53">
        <f t="shared" si="9"/>
        <v>-38815.72999999998</v>
      </c>
      <c r="T10" s="46">
        <f>+'[1]PREVISIO VENDES'!F34*(1+'[1]PREVISIO VENDES'!B38)</f>
        <v>241474.59</v>
      </c>
      <c r="U10" s="61">
        <v>209838.89</v>
      </c>
      <c r="V10" s="54">
        <f t="shared" si="10"/>
        <v>31635.699999999983</v>
      </c>
      <c r="W10" s="45">
        <f>+'[1]PREVISIO VENDES'!G34*(1+'[1]PREVISIO VENDES'!B38)</f>
        <v>239321.355</v>
      </c>
      <c r="X10" s="46">
        <v>206320.3</v>
      </c>
      <c r="Y10" s="54">
        <f t="shared" si="11"/>
        <v>33001.05500000002</v>
      </c>
      <c r="Z10" s="45">
        <f>+'[1]PREVISIO VENDES'!H34*(1+'[1]PREVISIO VENDES'!B38)</f>
        <v>234975.93000000002</v>
      </c>
      <c r="AA10" s="46">
        <v>223148.2</v>
      </c>
      <c r="AB10" s="54">
        <f t="shared" si="12"/>
        <v>11827.73000000001</v>
      </c>
      <c r="AC10" s="51">
        <f t="shared" si="2"/>
        <v>1329146.145</v>
      </c>
      <c r="AD10" s="52">
        <f t="shared" si="3"/>
        <v>1291497.3900000001</v>
      </c>
      <c r="AE10" s="53">
        <f aca="true" t="shared" si="20" ref="AE10:AE73">+AC10-AD10</f>
        <v>37648.75499999989</v>
      </c>
      <c r="AF10" s="45">
        <f>+'[1]PREVISIO VENDES'!I34*(1+'[1]PREVISIO VENDES'!B38)</f>
        <v>264376.98000000004</v>
      </c>
      <c r="AG10" s="46">
        <v>250773.2</v>
      </c>
      <c r="AH10" s="54">
        <f t="shared" si="13"/>
        <v>13603.780000000028</v>
      </c>
      <c r="AI10" s="45">
        <f>+'[1]PREVISIO VENDES'!J34*(1+'[1]PREVISIO VENDES'!B38)</f>
        <v>170561.58000000002</v>
      </c>
      <c r="AJ10" s="46">
        <v>182857.8</v>
      </c>
      <c r="AK10" s="54">
        <f t="shared" si="14"/>
        <v>-12296.219999999972</v>
      </c>
      <c r="AL10" s="45">
        <f>+'[1]PREVISIO VENDES'!K34*(1+'[1]PREVISIO VENDES'!B38)</f>
        <v>246066.24</v>
      </c>
      <c r="AM10" s="46">
        <v>247447.3</v>
      </c>
      <c r="AN10" s="54">
        <f t="shared" si="15"/>
        <v>-1381.0599999999977</v>
      </c>
      <c r="AO10" s="45">
        <f>+(+'[1]PREVISIO VENDES'!L34)*(1+'[1]PREVISIO VENDES'!B38)</f>
        <v>257212.2</v>
      </c>
      <c r="AP10" s="46">
        <v>261876.8</v>
      </c>
      <c r="AQ10" s="54">
        <f t="shared" si="16"/>
        <v>-4664.599999999977</v>
      </c>
      <c r="AR10" s="45">
        <f>+'[1]PREVISIO VENDES'!M34*(1+'[1]PREVISIO VENDES'!B38)</f>
        <v>238703.115</v>
      </c>
      <c r="AS10" s="46">
        <v>238567.3</v>
      </c>
      <c r="AT10" s="54">
        <f t="shared" si="17"/>
        <v>135.81500000000233</v>
      </c>
      <c r="AU10" s="45">
        <f>+'[1]PREVISIO VENDES'!N26</f>
        <v>240059.8367980435</v>
      </c>
      <c r="AV10" s="61">
        <v>264976.5</v>
      </c>
      <c r="AW10" s="54">
        <f t="shared" si="18"/>
        <v>-24916.663201956486</v>
      </c>
      <c r="AX10" s="25">
        <f>+F10+K10+N10+T10+W10+Z10+AF10+AI10+AL10+AO10+AR10+AU10</f>
        <v>2746126.096798043</v>
      </c>
      <c r="AY10" s="58"/>
      <c r="AZ10" s="45">
        <f t="shared" si="4"/>
        <v>2746126.096798043</v>
      </c>
      <c r="BA10" s="46">
        <f t="shared" si="5"/>
        <v>2737996.2899999996</v>
      </c>
      <c r="BB10" s="54">
        <f t="shared" si="19"/>
        <v>8129.806798043661</v>
      </c>
      <c r="BC10" s="46"/>
      <c r="BD10" s="46"/>
      <c r="BE10" s="5">
        <f aca="true" t="shared" si="21" ref="BE10:BE73">+(AZ10-BA10)/AZ10</f>
        <v>0.002960463762943347</v>
      </c>
      <c r="BF10" s="6">
        <f aca="true" t="shared" si="22" ref="BF10:BF73">+BA10/AZ10</f>
        <v>0.9970395362370567</v>
      </c>
      <c r="BG10" s="2"/>
      <c r="BH10" s="2"/>
    </row>
    <row r="11" spans="1:60" s="59" customFormat="1" ht="12.75">
      <c r="A11" s="1" t="s">
        <v>88</v>
      </c>
      <c r="B11" s="1"/>
      <c r="C11" s="1"/>
      <c r="D11" s="1"/>
      <c r="E11" s="1" t="s">
        <v>19</v>
      </c>
      <c r="F11" s="42">
        <v>3900</v>
      </c>
      <c r="G11" s="43">
        <v>3800</v>
      </c>
      <c r="H11" s="44">
        <f t="shared" si="6"/>
        <v>100</v>
      </c>
      <c r="I11" s="43"/>
      <c r="J11" s="43"/>
      <c r="K11" s="45">
        <f>+'[1]PREVISIO VENDES'!D33*(1+'[1]PREVISIO VENDES'!B38)</f>
        <v>2812.992</v>
      </c>
      <c r="L11" s="46">
        <v>3036.47</v>
      </c>
      <c r="M11" s="43">
        <f t="shared" si="7"/>
        <v>-223.4779999999996</v>
      </c>
      <c r="N11" s="45">
        <f>+'[1]PREVISIO VENDES'!E33*(1+'[1]PREVISIO VENDES'!B38)</f>
        <v>2921.0265</v>
      </c>
      <c r="O11" s="46">
        <v>3571.23</v>
      </c>
      <c r="P11" s="44">
        <f t="shared" si="8"/>
        <v>-650.2035000000001</v>
      </c>
      <c r="Q11" s="51">
        <f t="shared" si="0"/>
        <v>9634.0185</v>
      </c>
      <c r="R11" s="52">
        <f t="shared" si="1"/>
        <v>10407.699999999999</v>
      </c>
      <c r="S11" s="53">
        <f t="shared" si="9"/>
        <v>-773.6814999999988</v>
      </c>
      <c r="T11" s="46">
        <f>+'[1]PREVISIO VENDES'!F33*(1+'[1]PREVISIO VENDES'!B38)</f>
        <v>3728.9595</v>
      </c>
      <c r="U11" s="61">
        <v>3500</v>
      </c>
      <c r="V11" s="54">
        <f t="shared" si="10"/>
        <v>228.95949999999993</v>
      </c>
      <c r="W11" s="45">
        <f>+'[1]PREVISIO VENDES'!G33*(1+'[1]PREVISIO VENDES'!B38)</f>
        <v>3381.651</v>
      </c>
      <c r="X11" s="46">
        <v>3761.2</v>
      </c>
      <c r="Y11" s="54">
        <f t="shared" si="11"/>
        <v>-379.549</v>
      </c>
      <c r="Z11" s="45">
        <f>+(+'[1]PREVISIO VENDES'!H33*(1+'[1]PREVISIO VENDES'!B38))</f>
        <v>2811.9</v>
      </c>
      <c r="AA11" s="46">
        <v>2982.07</v>
      </c>
      <c r="AB11" s="54">
        <f t="shared" si="12"/>
        <v>-170.17000000000007</v>
      </c>
      <c r="AC11" s="51">
        <f t="shared" si="2"/>
        <v>19556.529000000002</v>
      </c>
      <c r="AD11" s="52">
        <f t="shared" si="3"/>
        <v>20650.97</v>
      </c>
      <c r="AE11" s="53">
        <f t="shared" si="20"/>
        <v>-1094.440999999999</v>
      </c>
      <c r="AF11" s="45">
        <f>+'[1]PREVISIO VENDES'!I33*(1+'[1]PREVISIO VENDES'!B38)</f>
        <v>2829.75</v>
      </c>
      <c r="AG11" s="46">
        <v>2148.61</v>
      </c>
      <c r="AH11" s="54">
        <f t="shared" si="13"/>
        <v>681.1399999999999</v>
      </c>
      <c r="AI11" s="45">
        <f>+(+'[1]PREVISIO VENDES'!J33*(1+'[1]PREVISIO VENDES'!B38))</f>
        <v>2531.4240000000004</v>
      </c>
      <c r="AJ11" s="46">
        <v>2201</v>
      </c>
      <c r="AK11" s="54">
        <f t="shared" si="14"/>
        <v>330.42400000000043</v>
      </c>
      <c r="AL11" s="45">
        <f>+'[1]PREVISIO VENDES'!K33*(1+'[1]PREVISIO VENDES'!B38)</f>
        <v>3752.4669</v>
      </c>
      <c r="AM11" s="46">
        <v>2620.78</v>
      </c>
      <c r="AN11" s="54">
        <f t="shared" si="15"/>
        <v>1131.6868999999997</v>
      </c>
      <c r="AO11" s="45">
        <f>+'[1]PREVISIO VENDES'!L33*(1+'[1]PREVISIO VENDES'!B38)</f>
        <v>4717.0305</v>
      </c>
      <c r="AP11" s="46">
        <v>2370.78</v>
      </c>
      <c r="AQ11" s="54">
        <f t="shared" si="16"/>
        <v>2346.2504999999996</v>
      </c>
      <c r="AR11" s="45">
        <f>+'[1]PREVISIO VENDES'!M33*(1+'[1]PREVISIO VENDES'!B38)</f>
        <v>4018.6125</v>
      </c>
      <c r="AS11" s="46">
        <v>2544.48</v>
      </c>
      <c r="AT11" s="54">
        <f t="shared" si="17"/>
        <v>1474.1325000000002</v>
      </c>
      <c r="AU11" s="45">
        <f>+'[1]PREVISIO VENDES'!N25</f>
        <v>4105.8162214845015</v>
      </c>
      <c r="AV11" s="61">
        <v>4011.29</v>
      </c>
      <c r="AW11" s="54">
        <f t="shared" si="18"/>
        <v>94.52622148450155</v>
      </c>
      <c r="AX11" s="25">
        <f>+F11+K11+N11+T11+W11+Z11+AF11+AI11+AL11+AO11+AR11+AU11</f>
        <v>41511.629121484504</v>
      </c>
      <c r="AY11" s="58"/>
      <c r="AZ11" s="45">
        <f t="shared" si="4"/>
        <v>41511.629121484504</v>
      </c>
      <c r="BA11" s="46">
        <f t="shared" si="5"/>
        <v>36547.909999999996</v>
      </c>
      <c r="BB11" s="54">
        <f t="shared" si="19"/>
        <v>4963.719121484508</v>
      </c>
      <c r="BC11" s="46"/>
      <c r="BD11" s="46"/>
      <c r="BE11" s="5">
        <f t="shared" si="21"/>
        <v>0.11957418262140707</v>
      </c>
      <c r="BF11" s="6">
        <f t="shared" si="22"/>
        <v>0.8804258173785929</v>
      </c>
      <c r="BG11" s="2"/>
      <c r="BH11" s="2"/>
    </row>
    <row r="12" spans="1:56" ht="12.75">
      <c r="A12" s="1" t="s">
        <v>96</v>
      </c>
      <c r="F12" s="42"/>
      <c r="G12" s="43"/>
      <c r="H12" s="44">
        <f t="shared" si="6"/>
        <v>0</v>
      </c>
      <c r="I12" s="43"/>
      <c r="J12" s="43"/>
      <c r="K12" s="45"/>
      <c r="L12" s="46">
        <v>19800</v>
      </c>
      <c r="M12" s="43">
        <f t="shared" si="7"/>
        <v>-19800</v>
      </c>
      <c r="N12" s="45"/>
      <c r="O12" s="46">
        <f>60000-19800*2</f>
        <v>20400</v>
      </c>
      <c r="P12" s="44">
        <f t="shared" si="8"/>
        <v>-20400</v>
      </c>
      <c r="Q12" s="51">
        <f t="shared" si="0"/>
        <v>0</v>
      </c>
      <c r="R12" s="52">
        <f t="shared" si="1"/>
        <v>40200</v>
      </c>
      <c r="S12" s="53">
        <f t="shared" si="9"/>
        <v>-40200</v>
      </c>
      <c r="T12" s="46"/>
      <c r="U12" s="46"/>
      <c r="V12" s="54">
        <f t="shared" si="10"/>
        <v>0</v>
      </c>
      <c r="W12" s="45"/>
      <c r="X12" s="46"/>
      <c r="Y12" s="54">
        <f t="shared" si="11"/>
        <v>0</v>
      </c>
      <c r="Z12" s="45"/>
      <c r="AA12" s="46"/>
      <c r="AB12" s="54">
        <f t="shared" si="12"/>
        <v>0</v>
      </c>
      <c r="AC12" s="51">
        <f t="shared" si="2"/>
        <v>0</v>
      </c>
      <c r="AD12" s="52">
        <f t="shared" si="3"/>
        <v>40200</v>
      </c>
      <c r="AE12" s="53">
        <f t="shared" si="20"/>
        <v>-40200</v>
      </c>
      <c r="AF12" s="45"/>
      <c r="AG12" s="46"/>
      <c r="AH12" s="54">
        <f t="shared" si="13"/>
        <v>0</v>
      </c>
      <c r="AI12" s="45"/>
      <c r="AJ12" s="46"/>
      <c r="AK12" s="54">
        <f t="shared" si="14"/>
        <v>0</v>
      </c>
      <c r="AL12" s="45"/>
      <c r="AM12" s="46"/>
      <c r="AN12" s="54">
        <f t="shared" si="15"/>
        <v>0</v>
      </c>
      <c r="AO12" s="45"/>
      <c r="AP12" s="46"/>
      <c r="AQ12" s="54">
        <f t="shared" si="16"/>
        <v>0</v>
      </c>
      <c r="AR12" s="45"/>
      <c r="AS12" s="46"/>
      <c r="AT12" s="54">
        <f t="shared" si="17"/>
        <v>0</v>
      </c>
      <c r="AU12" s="45"/>
      <c r="AV12" s="46">
        <f>-2235.2+204.3+601.8</f>
        <v>-1429.1</v>
      </c>
      <c r="AW12" s="54">
        <f t="shared" si="18"/>
        <v>1429.1</v>
      </c>
      <c r="AX12" s="25"/>
      <c r="AY12" s="58"/>
      <c r="AZ12" s="45">
        <f t="shared" si="4"/>
        <v>0</v>
      </c>
      <c r="BA12" s="46">
        <f t="shared" si="5"/>
        <v>38770.9</v>
      </c>
      <c r="BB12" s="54">
        <f t="shared" si="19"/>
        <v>-38770.9</v>
      </c>
      <c r="BC12" s="46"/>
      <c r="BD12" s="46"/>
    </row>
    <row r="13" spans="6:56" ht="12.75">
      <c r="F13" s="42"/>
      <c r="G13" s="43"/>
      <c r="H13" s="44">
        <f t="shared" si="6"/>
        <v>0</v>
      </c>
      <c r="I13" s="43"/>
      <c r="J13" s="43"/>
      <c r="K13" s="45"/>
      <c r="L13" s="46"/>
      <c r="M13" s="43">
        <f t="shared" si="7"/>
        <v>0</v>
      </c>
      <c r="N13" s="45"/>
      <c r="O13" s="46"/>
      <c r="P13" s="44">
        <f t="shared" si="8"/>
        <v>0</v>
      </c>
      <c r="Q13" s="51">
        <f t="shared" si="0"/>
        <v>0</v>
      </c>
      <c r="R13" s="52">
        <f t="shared" si="1"/>
        <v>0</v>
      </c>
      <c r="S13" s="53">
        <f t="shared" si="9"/>
        <v>0</v>
      </c>
      <c r="T13" s="46"/>
      <c r="U13" s="46"/>
      <c r="V13" s="54">
        <f t="shared" si="10"/>
        <v>0</v>
      </c>
      <c r="W13" s="45"/>
      <c r="X13" s="46"/>
      <c r="Y13" s="54">
        <f t="shared" si="11"/>
        <v>0</v>
      </c>
      <c r="Z13" s="45"/>
      <c r="AA13" s="46"/>
      <c r="AB13" s="54">
        <f t="shared" si="12"/>
        <v>0</v>
      </c>
      <c r="AC13" s="51">
        <f t="shared" si="2"/>
        <v>0</v>
      </c>
      <c r="AD13" s="52">
        <f t="shared" si="3"/>
        <v>0</v>
      </c>
      <c r="AE13" s="53">
        <f t="shared" si="20"/>
        <v>0</v>
      </c>
      <c r="AF13" s="45"/>
      <c r="AG13" s="46"/>
      <c r="AH13" s="54">
        <f t="shared" si="13"/>
        <v>0</v>
      </c>
      <c r="AI13" s="45"/>
      <c r="AJ13" s="46"/>
      <c r="AK13" s="54">
        <f t="shared" si="14"/>
        <v>0</v>
      </c>
      <c r="AL13" s="45"/>
      <c r="AM13" s="46"/>
      <c r="AN13" s="54">
        <f t="shared" si="15"/>
        <v>0</v>
      </c>
      <c r="AO13" s="45"/>
      <c r="AP13" s="46"/>
      <c r="AQ13" s="54">
        <f t="shared" si="16"/>
        <v>0</v>
      </c>
      <c r="AR13" s="45"/>
      <c r="AS13" s="46"/>
      <c r="AT13" s="54">
        <f t="shared" si="17"/>
        <v>0</v>
      </c>
      <c r="AU13" s="45"/>
      <c r="AV13" s="46"/>
      <c r="AW13" s="54">
        <f t="shared" si="18"/>
        <v>0</v>
      </c>
      <c r="AX13" s="25"/>
      <c r="AY13" s="62"/>
      <c r="AZ13" s="45">
        <f t="shared" si="4"/>
        <v>0</v>
      </c>
      <c r="BA13" s="46">
        <f t="shared" si="5"/>
        <v>0</v>
      </c>
      <c r="BB13" s="54">
        <f t="shared" si="19"/>
        <v>0</v>
      </c>
      <c r="BC13" s="46"/>
      <c r="BD13" s="46"/>
    </row>
    <row r="14" spans="1:60" s="59" customFormat="1" ht="12.75">
      <c r="A14" s="1" t="s">
        <v>20</v>
      </c>
      <c r="B14" s="1"/>
      <c r="C14" s="1"/>
      <c r="D14" s="1"/>
      <c r="E14" s="1" t="s">
        <v>21</v>
      </c>
      <c r="F14" s="42">
        <v>95</v>
      </c>
      <c r="G14" s="43">
        <v>250</v>
      </c>
      <c r="H14" s="44">
        <f t="shared" si="6"/>
        <v>-155</v>
      </c>
      <c r="I14" s="43"/>
      <c r="J14" s="43"/>
      <c r="K14" s="45">
        <f>+F14</f>
        <v>95</v>
      </c>
      <c r="L14" s="46">
        <v>228.99</v>
      </c>
      <c r="M14" s="43">
        <f t="shared" si="7"/>
        <v>-133.99</v>
      </c>
      <c r="N14" s="45">
        <f>+K14</f>
        <v>95</v>
      </c>
      <c r="O14" s="46"/>
      <c r="P14" s="44">
        <f t="shared" si="8"/>
        <v>95</v>
      </c>
      <c r="Q14" s="51">
        <f t="shared" si="0"/>
        <v>285</v>
      </c>
      <c r="R14" s="52">
        <f t="shared" si="1"/>
        <v>478.99</v>
      </c>
      <c r="S14" s="53">
        <f t="shared" si="9"/>
        <v>-193.99</v>
      </c>
      <c r="T14" s="46">
        <f>+N14</f>
        <v>95</v>
      </c>
      <c r="U14" s="46">
        <v>49</v>
      </c>
      <c r="V14" s="54">
        <f t="shared" si="10"/>
        <v>46</v>
      </c>
      <c r="W14" s="45">
        <f>+T14</f>
        <v>95</v>
      </c>
      <c r="X14" s="46"/>
      <c r="Y14" s="54">
        <f t="shared" si="11"/>
        <v>95</v>
      </c>
      <c r="Z14" s="45">
        <f>+W14</f>
        <v>95</v>
      </c>
      <c r="AA14" s="46">
        <v>304.29</v>
      </c>
      <c r="AB14" s="54">
        <f t="shared" si="12"/>
        <v>-209.29000000000002</v>
      </c>
      <c r="AC14" s="51">
        <f t="shared" si="2"/>
        <v>570</v>
      </c>
      <c r="AD14" s="52">
        <f t="shared" si="3"/>
        <v>832.28</v>
      </c>
      <c r="AE14" s="53">
        <f t="shared" si="20"/>
        <v>-262.28</v>
      </c>
      <c r="AF14" s="45">
        <f>+Z14</f>
        <v>95</v>
      </c>
      <c r="AG14" s="46"/>
      <c r="AH14" s="54">
        <f t="shared" si="13"/>
        <v>95</v>
      </c>
      <c r="AI14" s="45">
        <f>+AF14</f>
        <v>95</v>
      </c>
      <c r="AJ14" s="46"/>
      <c r="AK14" s="54">
        <f t="shared" si="14"/>
        <v>95</v>
      </c>
      <c r="AL14" s="45">
        <f>+AI14</f>
        <v>95</v>
      </c>
      <c r="AM14" s="46">
        <v>214.59</v>
      </c>
      <c r="AN14" s="54">
        <f t="shared" si="15"/>
        <v>-119.59</v>
      </c>
      <c r="AO14" s="45">
        <f>+AL14</f>
        <v>95</v>
      </c>
      <c r="AP14" s="46">
        <v>24</v>
      </c>
      <c r="AQ14" s="54">
        <f t="shared" si="16"/>
        <v>71</v>
      </c>
      <c r="AR14" s="45">
        <f>+AO14</f>
        <v>95</v>
      </c>
      <c r="AS14" s="46">
        <v>883.43</v>
      </c>
      <c r="AT14" s="54">
        <f t="shared" si="17"/>
        <v>-788.43</v>
      </c>
      <c r="AU14" s="45">
        <f>+AR14</f>
        <v>95</v>
      </c>
      <c r="AV14" s="46"/>
      <c r="AW14" s="54">
        <f t="shared" si="18"/>
        <v>95</v>
      </c>
      <c r="AX14" s="25">
        <f>+F14+K14+N14+T14+W14+Z14+AF14+AI14+AL14+AO14+AR14+AU14</f>
        <v>1140</v>
      </c>
      <c r="AY14" s="62">
        <f aca="true" t="shared" si="23" ref="AY14:AY35">+AX14/$AX$10</f>
        <v>0.0004151302452313567</v>
      </c>
      <c r="AZ14" s="45">
        <f t="shared" si="4"/>
        <v>1140</v>
      </c>
      <c r="BA14" s="46">
        <f t="shared" si="5"/>
        <v>1954.2999999999997</v>
      </c>
      <c r="BB14" s="63">
        <f t="shared" si="19"/>
        <v>-814.2999999999997</v>
      </c>
      <c r="BC14" s="87">
        <f>+BA14/$BA$8</f>
        <v>0.0006788848689874304</v>
      </c>
      <c r="BD14" s="87">
        <f>+AZ14/$AZ$8</f>
        <v>0.0003934871610937575</v>
      </c>
      <c r="BE14" s="5">
        <f t="shared" si="21"/>
        <v>-0.7142982456140349</v>
      </c>
      <c r="BF14" s="6">
        <f t="shared" si="22"/>
        <v>1.7142982456140348</v>
      </c>
      <c r="BG14" s="2"/>
      <c r="BH14" s="2"/>
    </row>
    <row r="15" spans="1:60" s="59" customFormat="1" ht="12.75">
      <c r="A15" s="1" t="s">
        <v>89</v>
      </c>
      <c r="B15" s="1"/>
      <c r="C15" s="1"/>
      <c r="D15" s="1"/>
      <c r="E15" s="1" t="s">
        <v>22</v>
      </c>
      <c r="F15" s="42">
        <v>90.9090909090909</v>
      </c>
      <c r="G15" s="43"/>
      <c r="H15" s="44">
        <f t="shared" si="6"/>
        <v>90.9090909090909</v>
      </c>
      <c r="I15" s="43"/>
      <c r="J15" s="43"/>
      <c r="K15" s="45">
        <f>+F15</f>
        <v>90.9090909090909</v>
      </c>
      <c r="L15" s="46">
        <v>297.29</v>
      </c>
      <c r="M15" s="43">
        <f t="shared" si="7"/>
        <v>-206.3809090909091</v>
      </c>
      <c r="N15" s="45">
        <f>+K15</f>
        <v>90.9090909090909</v>
      </c>
      <c r="O15" s="46">
        <v>560.56</v>
      </c>
      <c r="P15" s="44">
        <f t="shared" si="8"/>
        <v>-469.65090909090907</v>
      </c>
      <c r="Q15" s="51">
        <f t="shared" si="0"/>
        <v>272.72727272727275</v>
      </c>
      <c r="R15" s="52">
        <f t="shared" si="1"/>
        <v>857.8499999999999</v>
      </c>
      <c r="S15" s="53">
        <f t="shared" si="9"/>
        <v>-585.1227272727272</v>
      </c>
      <c r="T15" s="46">
        <f>+N15</f>
        <v>90.9090909090909</v>
      </c>
      <c r="U15" s="46">
        <f>420+233.28</f>
        <v>653.28</v>
      </c>
      <c r="V15" s="54">
        <f t="shared" si="10"/>
        <v>-562.3709090909091</v>
      </c>
      <c r="W15" s="45">
        <f>+N15</f>
        <v>90.9090909090909</v>
      </c>
      <c r="X15" s="46">
        <v>218.94</v>
      </c>
      <c r="Y15" s="54">
        <f t="shared" si="11"/>
        <v>-128.0309090909091</v>
      </c>
      <c r="Z15" s="45">
        <f>+W15</f>
        <v>90.9090909090909</v>
      </c>
      <c r="AA15" s="46"/>
      <c r="AB15" s="54">
        <f t="shared" si="12"/>
        <v>90.9090909090909</v>
      </c>
      <c r="AC15" s="51">
        <f t="shared" si="2"/>
        <v>545.4545454545454</v>
      </c>
      <c r="AD15" s="52">
        <f t="shared" si="3"/>
        <v>1730.07</v>
      </c>
      <c r="AE15" s="53">
        <f t="shared" si="20"/>
        <v>-1184.6154545454547</v>
      </c>
      <c r="AF15" s="45">
        <f>+Z15</f>
        <v>90.9090909090909</v>
      </c>
      <c r="AG15" s="46">
        <v>165</v>
      </c>
      <c r="AH15" s="54">
        <f t="shared" si="13"/>
        <v>-74.0909090909091</v>
      </c>
      <c r="AI15" s="45">
        <f>+AF15</f>
        <v>90.9090909090909</v>
      </c>
      <c r="AJ15" s="46">
        <v>73.26</v>
      </c>
      <c r="AK15" s="54">
        <f t="shared" si="14"/>
        <v>17.6490909090909</v>
      </c>
      <c r="AL15" s="45">
        <f>+AI15</f>
        <v>90.9090909090909</v>
      </c>
      <c r="AM15" s="46">
        <v>165</v>
      </c>
      <c r="AN15" s="54">
        <f t="shared" si="15"/>
        <v>-74.0909090909091</v>
      </c>
      <c r="AO15" s="45">
        <f>+AL15</f>
        <v>90.9090909090909</v>
      </c>
      <c r="AP15" s="46">
        <v>701.22</v>
      </c>
      <c r="AQ15" s="54">
        <f t="shared" si="16"/>
        <v>-610.3109090909091</v>
      </c>
      <c r="AR15" s="45">
        <f>+AO15</f>
        <v>90.9090909090909</v>
      </c>
      <c r="AS15" s="46">
        <v>826.92</v>
      </c>
      <c r="AT15" s="54">
        <f t="shared" si="17"/>
        <v>-736.0109090909091</v>
      </c>
      <c r="AU15" s="45">
        <f>+AR15</f>
        <v>90.9090909090909</v>
      </c>
      <c r="AV15" s="46"/>
      <c r="AW15" s="54">
        <f t="shared" si="18"/>
        <v>90.9090909090909</v>
      </c>
      <c r="AX15" s="25">
        <f>+F15+K15+N15+T15+W15+Z15+AF15+AI15+AL15+AO15+AR15+AU15</f>
        <v>1090.9090909090908</v>
      </c>
      <c r="AY15" s="62">
        <f t="shared" si="23"/>
        <v>0.00039725382318790106</v>
      </c>
      <c r="AZ15" s="45">
        <f t="shared" si="4"/>
        <v>1090.9090909090908</v>
      </c>
      <c r="BA15" s="46">
        <f t="shared" si="5"/>
        <v>3661.4700000000003</v>
      </c>
      <c r="BB15" s="63">
        <f t="shared" si="19"/>
        <v>-2570.5609090909093</v>
      </c>
      <c r="BC15" s="87">
        <f aca="true" t="shared" si="24" ref="BC15:BC78">+BA15/$BA$8</f>
        <v>0.0012719217015050952</v>
      </c>
      <c r="BD15" s="87">
        <f aca="true" t="shared" si="25" ref="BD15:BD78">+AZ15/$AZ$8</f>
        <v>0.0003765427378887631</v>
      </c>
      <c r="BE15" s="5">
        <f t="shared" si="21"/>
        <v>-2.3563475000000005</v>
      </c>
      <c r="BF15" s="6">
        <f t="shared" si="22"/>
        <v>3.3563475000000005</v>
      </c>
      <c r="BG15" s="2"/>
      <c r="BH15" s="2"/>
    </row>
    <row r="16" spans="1:60" s="59" customFormat="1" ht="12.75">
      <c r="A16" s="1" t="s">
        <v>90</v>
      </c>
      <c r="B16" s="1"/>
      <c r="C16" s="1"/>
      <c r="D16" s="1"/>
      <c r="E16" s="1" t="s">
        <v>23</v>
      </c>
      <c r="F16" s="42">
        <v>218.1818181818182</v>
      </c>
      <c r="G16" s="43"/>
      <c r="H16" s="44">
        <f t="shared" si="6"/>
        <v>218.1818181818182</v>
      </c>
      <c r="I16" s="43"/>
      <c r="J16" s="43"/>
      <c r="K16" s="45">
        <f>+F16</f>
        <v>218.1818181818182</v>
      </c>
      <c r="L16" s="46">
        <v>671</v>
      </c>
      <c r="M16" s="43">
        <f t="shared" si="7"/>
        <v>-452.8181818181818</v>
      </c>
      <c r="N16" s="45">
        <f>+K16</f>
        <v>218.1818181818182</v>
      </c>
      <c r="O16" s="46">
        <v>296.6</v>
      </c>
      <c r="P16" s="44">
        <f t="shared" si="8"/>
        <v>-78.41818181818184</v>
      </c>
      <c r="Q16" s="51">
        <f t="shared" si="0"/>
        <v>654.5454545454545</v>
      </c>
      <c r="R16" s="52">
        <f t="shared" si="1"/>
        <v>967.6</v>
      </c>
      <c r="S16" s="53">
        <f t="shared" si="9"/>
        <v>-313.0545454545455</v>
      </c>
      <c r="T16" s="46">
        <f>+N16</f>
        <v>218.1818181818182</v>
      </c>
      <c r="U16" s="46"/>
      <c r="V16" s="54">
        <f t="shared" si="10"/>
        <v>218.1818181818182</v>
      </c>
      <c r="W16" s="45">
        <f>+T16</f>
        <v>218.1818181818182</v>
      </c>
      <c r="X16" s="46">
        <v>12.3</v>
      </c>
      <c r="Y16" s="54">
        <f t="shared" si="11"/>
        <v>205.88181818181818</v>
      </c>
      <c r="Z16" s="45">
        <f>+W16</f>
        <v>218.1818181818182</v>
      </c>
      <c r="AA16" s="46">
        <v>189.01</v>
      </c>
      <c r="AB16" s="54">
        <f t="shared" si="12"/>
        <v>29.171818181818196</v>
      </c>
      <c r="AC16" s="51">
        <f t="shared" si="2"/>
        <v>1309.0909090909092</v>
      </c>
      <c r="AD16" s="52">
        <f t="shared" si="3"/>
        <v>1168.9099999999999</v>
      </c>
      <c r="AE16" s="53">
        <f t="shared" si="20"/>
        <v>140.18090909090938</v>
      </c>
      <c r="AF16" s="45">
        <f>+Z16</f>
        <v>218.1818181818182</v>
      </c>
      <c r="AG16" s="46"/>
      <c r="AH16" s="54">
        <f t="shared" si="13"/>
        <v>218.1818181818182</v>
      </c>
      <c r="AI16" s="45">
        <f>+AF16</f>
        <v>218.1818181818182</v>
      </c>
      <c r="AJ16" s="46"/>
      <c r="AK16" s="54">
        <f t="shared" si="14"/>
        <v>218.1818181818182</v>
      </c>
      <c r="AL16" s="45">
        <f>+AI16</f>
        <v>218.1818181818182</v>
      </c>
      <c r="AM16" s="46">
        <v>75</v>
      </c>
      <c r="AN16" s="54">
        <f t="shared" si="15"/>
        <v>143.1818181818182</v>
      </c>
      <c r="AO16" s="45">
        <f>+AL16</f>
        <v>218.1818181818182</v>
      </c>
      <c r="AP16" s="46">
        <v>296.3</v>
      </c>
      <c r="AQ16" s="54">
        <f t="shared" si="16"/>
        <v>-78.11818181818182</v>
      </c>
      <c r="AR16" s="45">
        <f>+AO16</f>
        <v>218.1818181818182</v>
      </c>
      <c r="AS16" s="46"/>
      <c r="AT16" s="54">
        <f t="shared" si="17"/>
        <v>218.1818181818182</v>
      </c>
      <c r="AU16" s="45">
        <f>+AR16</f>
        <v>218.1818181818182</v>
      </c>
      <c r="AV16" s="46">
        <v>397.49</v>
      </c>
      <c r="AW16" s="54">
        <f t="shared" si="18"/>
        <v>-179.30818181818182</v>
      </c>
      <c r="AX16" s="25">
        <f>+F16+K16+N16+T16+W16+Z16+AF16+AI16+AL16+AO16+AR16+AU16</f>
        <v>2618.181818181818</v>
      </c>
      <c r="AY16" s="62">
        <f t="shared" si="23"/>
        <v>0.0009534091756509626</v>
      </c>
      <c r="AZ16" s="45">
        <f t="shared" si="4"/>
        <v>2618.181818181818</v>
      </c>
      <c r="BA16" s="46">
        <f t="shared" si="5"/>
        <v>1937.6999999999998</v>
      </c>
      <c r="BB16" s="54">
        <f t="shared" si="19"/>
        <v>680.4818181818182</v>
      </c>
      <c r="BC16" s="87">
        <f t="shared" si="24"/>
        <v>0.0006731183598408351</v>
      </c>
      <c r="BD16" s="87">
        <f t="shared" si="25"/>
        <v>0.0009037025709330316</v>
      </c>
      <c r="BE16" s="5">
        <f t="shared" si="21"/>
        <v>0.25990625</v>
      </c>
      <c r="BF16" s="6">
        <f t="shared" si="22"/>
        <v>0.74009375</v>
      </c>
      <c r="BG16" s="2"/>
      <c r="BH16" s="88"/>
    </row>
    <row r="17" spans="1:60" s="59" customFormat="1" ht="12.75">
      <c r="A17" s="1" t="s">
        <v>24</v>
      </c>
      <c r="B17" s="1"/>
      <c r="C17" s="1"/>
      <c r="D17" s="1"/>
      <c r="E17" s="1" t="s">
        <v>25</v>
      </c>
      <c r="F17" s="42">
        <v>454.54545454545456</v>
      </c>
      <c r="G17" s="43">
        <v>61.61</v>
      </c>
      <c r="H17" s="44">
        <f t="shared" si="6"/>
        <v>392.93545454545455</v>
      </c>
      <c r="I17" s="43"/>
      <c r="J17" s="43"/>
      <c r="K17" s="45">
        <f>+F17</f>
        <v>454.54545454545456</v>
      </c>
      <c r="L17" s="46">
        <v>2500</v>
      </c>
      <c r="M17" s="43">
        <f t="shared" si="7"/>
        <v>-2045.4545454545455</v>
      </c>
      <c r="N17" s="45">
        <f>+K17</f>
        <v>454.54545454545456</v>
      </c>
      <c r="O17" s="46">
        <f>1.86+135.77+1640</f>
        <v>1777.63</v>
      </c>
      <c r="P17" s="44">
        <f t="shared" si="8"/>
        <v>-1323.0845454545456</v>
      </c>
      <c r="Q17" s="51">
        <f t="shared" si="0"/>
        <v>1363.6363636363637</v>
      </c>
      <c r="R17" s="52">
        <f t="shared" si="1"/>
        <v>4339.24</v>
      </c>
      <c r="S17" s="53">
        <f t="shared" si="9"/>
        <v>-2975.603636363636</v>
      </c>
      <c r="T17" s="46">
        <f>+N17</f>
        <v>454.54545454545456</v>
      </c>
      <c r="U17" s="46">
        <f>274.83+410</f>
        <v>684.8299999999999</v>
      </c>
      <c r="V17" s="54">
        <f t="shared" si="10"/>
        <v>-230.28454545454537</v>
      </c>
      <c r="W17" s="45">
        <f>+T17</f>
        <v>454.54545454545456</v>
      </c>
      <c r="X17" s="46">
        <v>47.24</v>
      </c>
      <c r="Y17" s="54">
        <f t="shared" si="11"/>
        <v>407.30545454545455</v>
      </c>
      <c r="Z17" s="45">
        <f>+W17</f>
        <v>454.54545454545456</v>
      </c>
      <c r="AA17" s="46">
        <v>5.05</v>
      </c>
      <c r="AB17" s="54">
        <f t="shared" si="12"/>
        <v>449.49545454545455</v>
      </c>
      <c r="AC17" s="51">
        <f t="shared" si="2"/>
        <v>2727.2727272727275</v>
      </c>
      <c r="AD17" s="52">
        <f t="shared" si="3"/>
        <v>5076.360000000001</v>
      </c>
      <c r="AE17" s="53">
        <f t="shared" si="20"/>
        <v>-2349.087272727273</v>
      </c>
      <c r="AF17" s="45">
        <f>+Z17</f>
        <v>454.54545454545456</v>
      </c>
      <c r="AG17" s="46"/>
      <c r="AH17" s="54">
        <f t="shared" si="13"/>
        <v>454.54545454545456</v>
      </c>
      <c r="AI17" s="45">
        <f>+AF17</f>
        <v>454.54545454545456</v>
      </c>
      <c r="AJ17" s="46">
        <v>2460</v>
      </c>
      <c r="AK17" s="54">
        <f t="shared" si="14"/>
        <v>-2005.4545454545455</v>
      </c>
      <c r="AL17" s="45">
        <f>+AI17</f>
        <v>454.54545454545456</v>
      </c>
      <c r="AM17" s="46">
        <v>595.78</v>
      </c>
      <c r="AN17" s="54">
        <f t="shared" si="15"/>
        <v>-141.2345454545454</v>
      </c>
      <c r="AO17" s="45">
        <f>+AL17</f>
        <v>454.54545454545456</v>
      </c>
      <c r="AP17" s="46">
        <f>260+69.97+820+156.67</f>
        <v>1306.64</v>
      </c>
      <c r="AQ17" s="54">
        <f t="shared" si="16"/>
        <v>-852.0945454545456</v>
      </c>
      <c r="AR17" s="45">
        <f>+AO17</f>
        <v>454.54545454545456</v>
      </c>
      <c r="AS17" s="46">
        <f>147.28+1230</f>
        <v>1377.28</v>
      </c>
      <c r="AT17" s="54">
        <f t="shared" si="17"/>
        <v>-922.7345454545455</v>
      </c>
      <c r="AU17" s="45">
        <f>+AR17</f>
        <v>454.54545454545456</v>
      </c>
      <c r="AV17" s="46">
        <v>1230</v>
      </c>
      <c r="AW17" s="54">
        <f t="shared" si="18"/>
        <v>-775.4545454545455</v>
      </c>
      <c r="AX17" s="25">
        <f>+F17+K17+N17+T17+W17+Z17+AF17+AI17+AL17+AO17+AR17+AU17</f>
        <v>5454.545454545456</v>
      </c>
      <c r="AY17" s="62"/>
      <c r="AZ17" s="45">
        <f t="shared" si="4"/>
        <v>5454.545454545456</v>
      </c>
      <c r="BA17" s="46">
        <f t="shared" si="5"/>
        <v>12046.06</v>
      </c>
      <c r="BB17" s="63">
        <f t="shared" si="19"/>
        <v>-6591.514545454544</v>
      </c>
      <c r="BC17" s="87">
        <f t="shared" si="24"/>
        <v>0.004184561154845585</v>
      </c>
      <c r="BD17" s="87">
        <f t="shared" si="25"/>
        <v>0.0018827136894438163</v>
      </c>
      <c r="BE17" s="5">
        <f t="shared" si="21"/>
        <v>-1.2084443333333328</v>
      </c>
      <c r="BF17" s="6">
        <f t="shared" si="22"/>
        <v>2.2084443333333326</v>
      </c>
      <c r="BG17" s="2"/>
      <c r="BH17" s="2"/>
    </row>
    <row r="18" spans="1:60" s="59" customFormat="1" ht="12.75">
      <c r="A18" s="1" t="s">
        <v>26</v>
      </c>
      <c r="B18" s="1"/>
      <c r="C18" s="1"/>
      <c r="D18" s="1"/>
      <c r="E18" s="1"/>
      <c r="F18" s="42">
        <v>0</v>
      </c>
      <c r="G18" s="43"/>
      <c r="H18" s="44">
        <f t="shared" si="6"/>
        <v>0</v>
      </c>
      <c r="I18" s="43"/>
      <c r="J18" s="43"/>
      <c r="K18" s="45">
        <v>0</v>
      </c>
      <c r="L18" s="46"/>
      <c r="M18" s="43">
        <f t="shared" si="7"/>
        <v>0</v>
      </c>
      <c r="N18" s="45">
        <v>0</v>
      </c>
      <c r="O18" s="46"/>
      <c r="P18" s="44">
        <f t="shared" si="8"/>
        <v>0</v>
      </c>
      <c r="Q18" s="51">
        <f t="shared" si="0"/>
        <v>0</v>
      </c>
      <c r="R18" s="52">
        <f t="shared" si="1"/>
        <v>0</v>
      </c>
      <c r="S18" s="53">
        <f t="shared" si="9"/>
        <v>0</v>
      </c>
      <c r="T18" s="46">
        <v>0</v>
      </c>
      <c r="U18" s="46"/>
      <c r="V18" s="54">
        <f t="shared" si="10"/>
        <v>0</v>
      </c>
      <c r="W18" s="45">
        <v>0</v>
      </c>
      <c r="X18" s="46"/>
      <c r="Y18" s="54">
        <f t="shared" si="11"/>
        <v>0</v>
      </c>
      <c r="Z18" s="45">
        <v>0</v>
      </c>
      <c r="AA18" s="46"/>
      <c r="AB18" s="54">
        <f t="shared" si="12"/>
        <v>0</v>
      </c>
      <c r="AC18" s="51">
        <f t="shared" si="2"/>
        <v>0</v>
      </c>
      <c r="AD18" s="52">
        <f t="shared" si="3"/>
        <v>0</v>
      </c>
      <c r="AE18" s="53">
        <f t="shared" si="20"/>
        <v>0</v>
      </c>
      <c r="AF18" s="45">
        <v>0</v>
      </c>
      <c r="AG18" s="46"/>
      <c r="AH18" s="54">
        <f t="shared" si="13"/>
        <v>0</v>
      </c>
      <c r="AI18" s="45">
        <v>0</v>
      </c>
      <c r="AJ18" s="46"/>
      <c r="AK18" s="54">
        <f t="shared" si="14"/>
        <v>0</v>
      </c>
      <c r="AL18" s="45">
        <v>0</v>
      </c>
      <c r="AM18" s="46"/>
      <c r="AN18" s="54">
        <f t="shared" si="15"/>
        <v>0</v>
      </c>
      <c r="AO18" s="45">
        <v>0</v>
      </c>
      <c r="AP18" s="46"/>
      <c r="AQ18" s="54">
        <f t="shared" si="16"/>
        <v>0</v>
      </c>
      <c r="AR18" s="45"/>
      <c r="AS18" s="46">
        <f>1865.95+187.03</f>
        <v>2052.98</v>
      </c>
      <c r="AT18" s="54">
        <f t="shared" si="17"/>
        <v>-2052.98</v>
      </c>
      <c r="AU18" s="45">
        <v>6000</v>
      </c>
      <c r="AV18" s="46">
        <v>7314.51</v>
      </c>
      <c r="AW18" s="54">
        <f t="shared" si="18"/>
        <v>-1314.5100000000002</v>
      </c>
      <c r="AX18" s="25">
        <f>+F18+K18+N18+T18+W18+Z18+AF18+AI18+AL18+AO18+AR18+AU18</f>
        <v>6000</v>
      </c>
      <c r="AY18" s="62">
        <f t="shared" si="23"/>
        <v>0.002184896027533456</v>
      </c>
      <c r="AZ18" s="45">
        <f t="shared" si="4"/>
        <v>6000</v>
      </c>
      <c r="BA18" s="46">
        <f t="shared" si="5"/>
        <v>9367.49</v>
      </c>
      <c r="BB18" s="63">
        <f t="shared" si="19"/>
        <v>-3367.49</v>
      </c>
      <c r="BC18" s="87">
        <f t="shared" si="24"/>
        <v>0.0032540793232313696</v>
      </c>
      <c r="BD18" s="87">
        <f t="shared" si="25"/>
        <v>0.0020709850583881975</v>
      </c>
      <c r="BE18" s="5"/>
      <c r="BF18" s="6">
        <f t="shared" si="22"/>
        <v>1.5612483333333333</v>
      </c>
      <c r="BG18" s="2"/>
      <c r="BH18" s="2"/>
    </row>
    <row r="19" spans="6:56" ht="12.75">
      <c r="F19" s="42"/>
      <c r="G19" s="43"/>
      <c r="H19" s="44">
        <f t="shared" si="6"/>
        <v>0</v>
      </c>
      <c r="I19" s="43"/>
      <c r="J19" s="43"/>
      <c r="K19" s="45"/>
      <c r="L19" s="46"/>
      <c r="M19" s="43">
        <f t="shared" si="7"/>
        <v>0</v>
      </c>
      <c r="N19" s="45"/>
      <c r="O19" s="46"/>
      <c r="P19" s="44">
        <f t="shared" si="8"/>
        <v>0</v>
      </c>
      <c r="Q19" s="51">
        <f t="shared" si="0"/>
        <v>0</v>
      </c>
      <c r="R19" s="52">
        <f t="shared" si="1"/>
        <v>0</v>
      </c>
      <c r="S19" s="53">
        <f t="shared" si="9"/>
        <v>0</v>
      </c>
      <c r="T19" s="46"/>
      <c r="U19" s="46"/>
      <c r="V19" s="54">
        <f t="shared" si="10"/>
        <v>0</v>
      </c>
      <c r="W19" s="45"/>
      <c r="X19" s="46"/>
      <c r="Y19" s="54">
        <f t="shared" si="11"/>
        <v>0</v>
      </c>
      <c r="Z19" s="45"/>
      <c r="AA19" s="46"/>
      <c r="AB19" s="54">
        <f t="shared" si="12"/>
        <v>0</v>
      </c>
      <c r="AC19" s="51">
        <f t="shared" si="2"/>
        <v>0</v>
      </c>
      <c r="AD19" s="52">
        <f t="shared" si="3"/>
        <v>0</v>
      </c>
      <c r="AE19" s="53">
        <f t="shared" si="20"/>
        <v>0</v>
      </c>
      <c r="AF19" s="45"/>
      <c r="AG19" s="46"/>
      <c r="AH19" s="54">
        <f t="shared" si="13"/>
        <v>0</v>
      </c>
      <c r="AI19" s="45"/>
      <c r="AJ19" s="46"/>
      <c r="AK19" s="54">
        <f t="shared" si="14"/>
        <v>0</v>
      </c>
      <c r="AL19" s="45"/>
      <c r="AM19" s="46"/>
      <c r="AN19" s="54">
        <f t="shared" si="15"/>
        <v>0</v>
      </c>
      <c r="AO19" s="45"/>
      <c r="AP19" s="46"/>
      <c r="AQ19" s="54">
        <f t="shared" si="16"/>
        <v>0</v>
      </c>
      <c r="AR19" s="45"/>
      <c r="AS19" s="46"/>
      <c r="AT19" s="54">
        <f t="shared" si="17"/>
        <v>0</v>
      </c>
      <c r="AU19" s="45"/>
      <c r="AV19" s="46"/>
      <c r="AW19" s="54">
        <f t="shared" si="18"/>
        <v>0</v>
      </c>
      <c r="AX19" s="25"/>
      <c r="AY19" s="62"/>
      <c r="AZ19" s="45">
        <f t="shared" si="4"/>
        <v>0</v>
      </c>
      <c r="BA19" s="46">
        <f t="shared" si="5"/>
        <v>0</v>
      </c>
      <c r="BB19" s="54">
        <f t="shared" si="19"/>
        <v>0</v>
      </c>
      <c r="BC19" s="87"/>
      <c r="BD19" s="87"/>
    </row>
    <row r="20" spans="1:60" s="59" customFormat="1" ht="12.75">
      <c r="A20" s="1" t="s">
        <v>109</v>
      </c>
      <c r="B20" s="1"/>
      <c r="C20" s="1"/>
      <c r="D20" s="93">
        <f>+F20/F10</f>
        <v>0.08476190476190476</v>
      </c>
      <c r="E20" s="1"/>
      <c r="F20" s="42">
        <v>17800</v>
      </c>
      <c r="G20" s="64">
        <v>24000</v>
      </c>
      <c r="H20" s="63">
        <f t="shared" si="6"/>
        <v>-6200</v>
      </c>
      <c r="I20" s="94">
        <f>+G20/G10</f>
        <v>0.11162790697674418</v>
      </c>
      <c r="J20" s="61"/>
      <c r="K20" s="45">
        <f>+F20</f>
        <v>17800</v>
      </c>
      <c r="L20" s="64">
        <v>19000</v>
      </c>
      <c r="M20" s="43">
        <f t="shared" si="7"/>
        <v>-1200</v>
      </c>
      <c r="N20" s="45">
        <f>+K20</f>
        <v>17800</v>
      </c>
      <c r="O20" s="46">
        <f>+L20</f>
        <v>19000</v>
      </c>
      <c r="P20" s="44">
        <f t="shared" si="8"/>
        <v>-1200</v>
      </c>
      <c r="Q20" s="51">
        <f t="shared" si="0"/>
        <v>53400</v>
      </c>
      <c r="R20" s="52">
        <f t="shared" si="1"/>
        <v>62000</v>
      </c>
      <c r="S20" s="53">
        <f t="shared" si="9"/>
        <v>-8600</v>
      </c>
      <c r="T20" s="46">
        <f>+N20</f>
        <v>17800</v>
      </c>
      <c r="U20" s="43">
        <v>16208.6</v>
      </c>
      <c r="V20" s="54">
        <f t="shared" si="10"/>
        <v>1591.3999999999996</v>
      </c>
      <c r="W20" s="45">
        <f>+T20</f>
        <v>17800</v>
      </c>
      <c r="X20" s="43">
        <f>+U20</f>
        <v>16208.6</v>
      </c>
      <c r="Y20" s="54">
        <f t="shared" si="11"/>
        <v>1591.3999999999996</v>
      </c>
      <c r="Z20" s="45">
        <f>+W20</f>
        <v>17800</v>
      </c>
      <c r="AA20" s="46">
        <v>16208.6</v>
      </c>
      <c r="AB20" s="54">
        <f t="shared" si="12"/>
        <v>1591.3999999999996</v>
      </c>
      <c r="AC20" s="51">
        <f t="shared" si="2"/>
        <v>106800</v>
      </c>
      <c r="AD20" s="52">
        <f t="shared" si="3"/>
        <v>110625.8</v>
      </c>
      <c r="AE20" s="53">
        <f t="shared" si="20"/>
        <v>-3825.800000000003</v>
      </c>
      <c r="AF20" s="45">
        <f>+Z20</f>
        <v>17800</v>
      </c>
      <c r="AG20" s="65">
        <v>22016.38</v>
      </c>
      <c r="AH20" s="54">
        <f t="shared" si="13"/>
        <v>-4216.380000000001</v>
      </c>
      <c r="AI20" s="45">
        <f>+AF20</f>
        <v>17800</v>
      </c>
      <c r="AJ20" s="65">
        <v>22016.38</v>
      </c>
      <c r="AK20" s="54">
        <f t="shared" si="14"/>
        <v>-4216.380000000001</v>
      </c>
      <c r="AL20" s="45">
        <f>+AI20</f>
        <v>17800</v>
      </c>
      <c r="AM20" s="65">
        <v>22016.38</v>
      </c>
      <c r="AN20" s="54">
        <f t="shared" si="15"/>
        <v>-4216.380000000001</v>
      </c>
      <c r="AO20" s="45">
        <f>+AL20</f>
        <v>17800</v>
      </c>
      <c r="AP20" s="61">
        <v>17519.41</v>
      </c>
      <c r="AQ20" s="54">
        <f t="shared" si="16"/>
        <v>280.59000000000015</v>
      </c>
      <c r="AR20" s="45">
        <f>+AO20</f>
        <v>17800</v>
      </c>
      <c r="AS20" s="61">
        <v>17519.41</v>
      </c>
      <c r="AT20" s="54">
        <f t="shared" si="17"/>
        <v>280.59000000000015</v>
      </c>
      <c r="AU20" s="45">
        <f>+AR20</f>
        <v>17800</v>
      </c>
      <c r="AV20" s="61">
        <v>17519.41</v>
      </c>
      <c r="AW20" s="54">
        <f t="shared" si="18"/>
        <v>280.59000000000015</v>
      </c>
      <c r="AX20" s="25">
        <f aca="true" t="shared" si="26" ref="AX20:AX30">+F20+K20+N20+T20+W20+Z20+AF20+AI20+AL20+AO20+AR20+AU20</f>
        <v>213600</v>
      </c>
      <c r="AY20" s="62">
        <f t="shared" si="23"/>
        <v>0.07778229858019103</v>
      </c>
      <c r="AZ20" s="45">
        <f t="shared" si="4"/>
        <v>213600</v>
      </c>
      <c r="BA20" s="46">
        <f t="shared" si="5"/>
        <v>229233.17000000004</v>
      </c>
      <c r="BB20" s="63">
        <f t="shared" si="19"/>
        <v>-15633.170000000042</v>
      </c>
      <c r="BC20" s="87">
        <f t="shared" si="24"/>
        <v>0.079631034428196</v>
      </c>
      <c r="BD20" s="87">
        <f t="shared" si="25"/>
        <v>0.07372706807861983</v>
      </c>
      <c r="BE20" s="5">
        <f t="shared" si="21"/>
        <v>-0.07318899812734102</v>
      </c>
      <c r="BF20" s="6">
        <f t="shared" si="22"/>
        <v>1.073188998127341</v>
      </c>
      <c r="BG20" s="2"/>
      <c r="BH20" s="2"/>
    </row>
    <row r="21" spans="1:60" s="59" customFormat="1" ht="12.75">
      <c r="A21" s="1" t="s">
        <v>91</v>
      </c>
      <c r="B21" s="1"/>
      <c r="C21" s="1"/>
      <c r="D21" s="1"/>
      <c r="E21" s="66">
        <v>631.6</v>
      </c>
      <c r="F21" s="42">
        <v>1954.5454545454545</v>
      </c>
      <c r="G21" s="43">
        <v>1900</v>
      </c>
      <c r="H21" s="44">
        <f t="shared" si="6"/>
        <v>54.545454545454504</v>
      </c>
      <c r="I21" s="43"/>
      <c r="J21" s="43"/>
      <c r="K21" s="45">
        <f>+F21</f>
        <v>1954.5454545454545</v>
      </c>
      <c r="L21" s="46">
        <f>16.2+1812</f>
        <v>1828.2</v>
      </c>
      <c r="M21" s="43">
        <f t="shared" si="7"/>
        <v>126.34545454545446</v>
      </c>
      <c r="N21" s="45">
        <f>+K21</f>
        <v>1954.5454545454545</v>
      </c>
      <c r="O21" s="46">
        <f>3.6+1904.75</f>
        <v>1908.35</v>
      </c>
      <c r="P21" s="44">
        <f t="shared" si="8"/>
        <v>46.195454545454595</v>
      </c>
      <c r="Q21" s="51">
        <f t="shared" si="0"/>
        <v>5863.636363636364</v>
      </c>
      <c r="R21" s="52">
        <f t="shared" si="1"/>
        <v>5636.549999999999</v>
      </c>
      <c r="S21" s="53">
        <f t="shared" si="9"/>
        <v>227.0863636363647</v>
      </c>
      <c r="T21" s="46">
        <f>+N21</f>
        <v>1954.5454545454545</v>
      </c>
      <c r="U21" s="46">
        <f>3.6+1161.4</f>
        <v>1165</v>
      </c>
      <c r="V21" s="54">
        <f t="shared" si="10"/>
        <v>789.5454545454545</v>
      </c>
      <c r="W21" s="45">
        <f>+T21</f>
        <v>1954.5454545454545</v>
      </c>
      <c r="X21" s="46">
        <v>2276.5</v>
      </c>
      <c r="Y21" s="54">
        <f t="shared" si="11"/>
        <v>-321.9545454545455</v>
      </c>
      <c r="Z21" s="45">
        <f>+W21</f>
        <v>1954.5454545454545</v>
      </c>
      <c r="AA21" s="46">
        <f>16.2+1904.9</f>
        <v>1921.1000000000001</v>
      </c>
      <c r="AB21" s="54">
        <f t="shared" si="12"/>
        <v>33.44545454545437</v>
      </c>
      <c r="AC21" s="51">
        <f t="shared" si="2"/>
        <v>11727.272727272726</v>
      </c>
      <c r="AD21" s="52">
        <f t="shared" si="3"/>
        <v>10999.150000000001</v>
      </c>
      <c r="AE21" s="53">
        <f t="shared" si="20"/>
        <v>728.1227272727247</v>
      </c>
      <c r="AF21" s="45">
        <f>+Z21</f>
        <v>1954.5454545454545</v>
      </c>
      <c r="AG21" s="46">
        <f>23.4+1115.08</f>
        <v>1138.48</v>
      </c>
      <c r="AH21" s="54">
        <f t="shared" si="13"/>
        <v>816.0654545454545</v>
      </c>
      <c r="AI21" s="45">
        <f>+AF21</f>
        <v>1954.5454545454545</v>
      </c>
      <c r="AJ21" s="46">
        <v>1869.1</v>
      </c>
      <c r="AK21" s="54">
        <f t="shared" si="14"/>
        <v>85.4454545454546</v>
      </c>
      <c r="AL21" s="45">
        <f>+AI21</f>
        <v>1954.5454545454545</v>
      </c>
      <c r="AM21" s="46">
        <v>1254.3</v>
      </c>
      <c r="AN21" s="54">
        <f t="shared" si="15"/>
        <v>700.2454545454545</v>
      </c>
      <c r="AO21" s="45">
        <f>+AL21</f>
        <v>1954.5454545454545</v>
      </c>
      <c r="AP21" s="46">
        <v>3071.4</v>
      </c>
      <c r="AQ21" s="54">
        <f t="shared" si="16"/>
        <v>-1116.8545454545456</v>
      </c>
      <c r="AR21" s="45">
        <f>+AO21</f>
        <v>1954.5454545454545</v>
      </c>
      <c r="AS21" s="46">
        <v>1175.65</v>
      </c>
      <c r="AT21" s="54">
        <f t="shared" si="17"/>
        <v>778.8954545454544</v>
      </c>
      <c r="AU21" s="45">
        <f>+AR21</f>
        <v>1954.5454545454545</v>
      </c>
      <c r="AV21" s="46">
        <v>1861.75</v>
      </c>
      <c r="AW21" s="54">
        <f t="shared" si="18"/>
        <v>92.7954545454545</v>
      </c>
      <c r="AX21" s="25">
        <f t="shared" si="26"/>
        <v>23454.545454545456</v>
      </c>
      <c r="AY21" s="62"/>
      <c r="AZ21" s="45">
        <f t="shared" si="4"/>
        <v>23454.545454545456</v>
      </c>
      <c r="BA21" s="46">
        <f t="shared" si="5"/>
        <v>21369.83</v>
      </c>
      <c r="BB21" s="54">
        <f t="shared" si="19"/>
        <v>2084.715454545454</v>
      </c>
      <c r="BC21" s="87">
        <f t="shared" si="24"/>
        <v>0.007423453021457128</v>
      </c>
      <c r="BD21" s="87">
        <f t="shared" si="25"/>
        <v>0.00809566886460841</v>
      </c>
      <c r="BE21" s="5">
        <f t="shared" si="21"/>
        <v>0.08888321705426354</v>
      </c>
      <c r="BF21" s="6">
        <f t="shared" si="22"/>
        <v>0.9111167829457365</v>
      </c>
      <c r="BG21" s="2"/>
      <c r="BH21" s="2"/>
    </row>
    <row r="22" spans="1:56" ht="12.75">
      <c r="A22" s="1" t="s">
        <v>27</v>
      </c>
      <c r="F22" s="95">
        <f>+F23/F8</f>
        <v>0.36140000000000005</v>
      </c>
      <c r="G22" s="87">
        <f>+G23/G8</f>
        <v>0.3610603290676417</v>
      </c>
      <c r="H22" s="44">
        <f t="shared" si="6"/>
        <v>0.0003396709323583713</v>
      </c>
      <c r="I22" s="43"/>
      <c r="J22" s="43"/>
      <c r="K22" s="45"/>
      <c r="L22" s="46"/>
      <c r="M22" s="43">
        <f t="shared" si="7"/>
        <v>0</v>
      </c>
      <c r="N22" s="45"/>
      <c r="O22" s="46"/>
      <c r="P22" s="44">
        <f t="shared" si="8"/>
        <v>0</v>
      </c>
      <c r="Q22" s="51">
        <f t="shared" si="0"/>
        <v>0.36140000000000005</v>
      </c>
      <c r="R22" s="52">
        <f t="shared" si="1"/>
        <v>0.3610603290676417</v>
      </c>
      <c r="S22" s="53">
        <f t="shared" si="9"/>
        <v>0.0003396709323583713</v>
      </c>
      <c r="T22" s="46"/>
      <c r="U22" s="46"/>
      <c r="V22" s="54">
        <f t="shared" si="10"/>
        <v>0</v>
      </c>
      <c r="W22" s="45"/>
      <c r="X22" s="46"/>
      <c r="Y22" s="54">
        <f t="shared" si="11"/>
        <v>0</v>
      </c>
      <c r="Z22" s="45"/>
      <c r="AA22" s="46"/>
      <c r="AB22" s="54">
        <f t="shared" si="12"/>
        <v>0</v>
      </c>
      <c r="AC22" s="51">
        <f t="shared" si="2"/>
        <v>0.36140000000000005</v>
      </c>
      <c r="AD22" s="52">
        <f t="shared" si="3"/>
        <v>0.3610603290676417</v>
      </c>
      <c r="AE22" s="53">
        <f t="shared" si="20"/>
        <v>0.0003396709323583713</v>
      </c>
      <c r="AF22" s="45"/>
      <c r="AG22" s="46"/>
      <c r="AH22" s="54">
        <f t="shared" si="13"/>
        <v>0</v>
      </c>
      <c r="AI22" s="45"/>
      <c r="AJ22" s="46"/>
      <c r="AK22" s="54">
        <f t="shared" si="14"/>
        <v>0</v>
      </c>
      <c r="AL22" s="45"/>
      <c r="AM22" s="46"/>
      <c r="AN22" s="54">
        <f t="shared" si="15"/>
        <v>0</v>
      </c>
      <c r="AO22" s="45"/>
      <c r="AP22" s="46"/>
      <c r="AQ22" s="54">
        <f t="shared" si="16"/>
        <v>0</v>
      </c>
      <c r="AR22" s="45"/>
      <c r="AS22" s="46"/>
      <c r="AT22" s="54">
        <f t="shared" si="17"/>
        <v>0</v>
      </c>
      <c r="AU22" s="45"/>
      <c r="AV22" s="46"/>
      <c r="AW22" s="54">
        <f t="shared" si="18"/>
        <v>0</v>
      </c>
      <c r="AX22" s="25">
        <f t="shared" si="26"/>
        <v>0.36140000000000005</v>
      </c>
      <c r="AY22" s="62">
        <f t="shared" si="23"/>
        <v>1.3160357072509852E-07</v>
      </c>
      <c r="AZ22" s="45">
        <f t="shared" si="4"/>
        <v>0.36140000000000005</v>
      </c>
      <c r="BA22" s="46">
        <f t="shared" si="5"/>
        <v>0.3610603290676417</v>
      </c>
      <c r="BB22" s="54">
        <f t="shared" si="19"/>
        <v>0.0003396709323583713</v>
      </c>
      <c r="BC22" s="87"/>
      <c r="BD22" s="87"/>
    </row>
    <row r="23" spans="1:60" s="59" customFormat="1" ht="12.75">
      <c r="A23" s="1" t="s">
        <v>28</v>
      </c>
      <c r="B23" s="1"/>
      <c r="C23" s="1">
        <v>0.3614</v>
      </c>
      <c r="D23" s="90">
        <f>+F23/F8</f>
        <v>0.36140000000000005</v>
      </c>
      <c r="E23" s="1" t="s">
        <v>29</v>
      </c>
      <c r="F23" s="42">
        <f>+C23*F8</f>
        <v>77303.46</v>
      </c>
      <c r="G23" s="43">
        <v>79000</v>
      </c>
      <c r="H23" s="63">
        <f t="shared" si="6"/>
        <v>-1696.5399999999936</v>
      </c>
      <c r="I23" s="96">
        <f>+H23/G23</f>
        <v>-0.02147518987341764</v>
      </c>
      <c r="J23" s="61"/>
      <c r="K23" s="45">
        <f>+C23*K8</f>
        <v>91823.7892</v>
      </c>
      <c r="L23" s="46">
        <v>75878.987</v>
      </c>
      <c r="M23" s="43">
        <f t="shared" si="7"/>
        <v>15944.802200000006</v>
      </c>
      <c r="N23" s="45">
        <f>+C23*N8</f>
        <v>77946.383372</v>
      </c>
      <c r="O23" s="46">
        <f>140140.73-66475.03</f>
        <v>73665.70000000001</v>
      </c>
      <c r="P23" s="44">
        <f t="shared" si="8"/>
        <v>4280.683371999985</v>
      </c>
      <c r="Q23" s="51">
        <f t="shared" si="0"/>
        <v>247073.63257200003</v>
      </c>
      <c r="R23" s="52">
        <f t="shared" si="1"/>
        <v>228544.687</v>
      </c>
      <c r="S23" s="53">
        <f t="shared" si="9"/>
        <v>18528.945572000026</v>
      </c>
      <c r="T23" s="46">
        <f>+T8*C23</f>
        <v>88616.56278929999</v>
      </c>
      <c r="U23" s="46">
        <v>70303.6</v>
      </c>
      <c r="V23" s="54">
        <f t="shared" si="10"/>
        <v>18312.962789299985</v>
      </c>
      <c r="W23" s="45">
        <f>+W8*C23</f>
        <v>87712.8663684</v>
      </c>
      <c r="X23" s="46">
        <v>69370.86</v>
      </c>
      <c r="Y23" s="54">
        <f t="shared" si="11"/>
        <v>18342.006368400005</v>
      </c>
      <c r="Z23" s="45">
        <f>+C23*Z8</f>
        <v>85936.521762</v>
      </c>
      <c r="AA23" s="46">
        <f>123123.19-48625.82</f>
        <v>74497.37</v>
      </c>
      <c r="AB23" s="54">
        <f t="shared" si="12"/>
        <v>11439.151762000009</v>
      </c>
      <c r="AC23" s="51">
        <f t="shared" si="2"/>
        <v>509339.5834917</v>
      </c>
      <c r="AD23" s="52">
        <f t="shared" si="3"/>
        <v>442716.51699999993</v>
      </c>
      <c r="AE23" s="53">
        <f t="shared" si="20"/>
        <v>66623.06649170007</v>
      </c>
      <c r="AF23" s="45">
        <f>+AF8*C23</f>
        <v>96568.51222200002</v>
      </c>
      <c r="AG23" s="46">
        <v>84658.59</v>
      </c>
      <c r="AH23" s="54">
        <f t="shared" si="13"/>
        <v>11909.922222000023</v>
      </c>
      <c r="AI23" s="45">
        <f>+AI8*C23</f>
        <v>62555.811645600006</v>
      </c>
      <c r="AJ23" s="46">
        <v>64369.72</v>
      </c>
      <c r="AK23" s="54">
        <f t="shared" si="14"/>
        <v>-1813.908354399995</v>
      </c>
      <c r="AL23" s="45">
        <f>+AL8*C23</f>
        <v>90284.48067366</v>
      </c>
      <c r="AM23" s="46">
        <v>80307.67</v>
      </c>
      <c r="AN23" s="54">
        <f t="shared" si="15"/>
        <v>9976.810673660002</v>
      </c>
      <c r="AO23" s="45">
        <f>+AO8*C23</f>
        <v>94661.2239027</v>
      </c>
      <c r="AP23" s="46">
        <v>87233.69</v>
      </c>
      <c r="AQ23" s="54">
        <f t="shared" si="16"/>
        <v>7427.533902700001</v>
      </c>
      <c r="AR23" s="45">
        <f>+AR8*C23</f>
        <v>92802.4604</v>
      </c>
      <c r="AS23" s="43">
        <f>76996.26+167+379.4</f>
        <v>77542.65999999999</v>
      </c>
      <c r="AT23" s="54">
        <f t="shared" si="17"/>
        <v>15259.800400000007</v>
      </c>
      <c r="AU23" s="45">
        <f>+C23*AU8</f>
        <v>100825.9018</v>
      </c>
      <c r="AV23" s="61">
        <v>92701.38</v>
      </c>
      <c r="AW23" s="54">
        <f t="shared" si="18"/>
        <v>8124.521800000002</v>
      </c>
      <c r="AX23" s="25">
        <f t="shared" si="26"/>
        <v>1047037.97413566</v>
      </c>
      <c r="AY23" s="62">
        <f t="shared" si="23"/>
        <v>0.38127818506094685</v>
      </c>
      <c r="AZ23" s="45">
        <f t="shared" si="4"/>
        <v>1047037.97413566</v>
      </c>
      <c r="BA23" s="46">
        <f t="shared" si="5"/>
        <v>929530.227</v>
      </c>
      <c r="BB23" s="67">
        <f t="shared" si="19"/>
        <v>117507.74713566003</v>
      </c>
      <c r="BC23" s="87">
        <f t="shared" si="24"/>
        <v>0.3229002744597818</v>
      </c>
      <c r="BD23" s="87">
        <f t="shared" si="25"/>
        <v>0.3614</v>
      </c>
      <c r="BE23" s="5">
        <f t="shared" si="21"/>
        <v>0.1122287348103719</v>
      </c>
      <c r="BF23" s="6">
        <f t="shared" si="22"/>
        <v>0.8877712651896281</v>
      </c>
      <c r="BG23" s="68">
        <f>+BA23/BA8</f>
        <v>0.3229002744597818</v>
      </c>
      <c r="BH23" s="2"/>
    </row>
    <row r="24" spans="1:60" s="59" customFormat="1" ht="12.75">
      <c r="A24" s="1" t="s">
        <v>92</v>
      </c>
      <c r="B24" s="1"/>
      <c r="C24" s="1"/>
      <c r="D24" s="1"/>
      <c r="E24" s="1" t="s">
        <v>30</v>
      </c>
      <c r="F24" s="42">
        <f>44000/11</f>
        <v>4000</v>
      </c>
      <c r="G24" s="43">
        <v>3600</v>
      </c>
      <c r="H24" s="44">
        <f t="shared" si="6"/>
        <v>400</v>
      </c>
      <c r="I24" s="43"/>
      <c r="J24" s="43"/>
      <c r="K24" s="45">
        <f>+F24</f>
        <v>4000</v>
      </c>
      <c r="L24" s="46">
        <v>2100</v>
      </c>
      <c r="M24" s="43">
        <f t="shared" si="7"/>
        <v>1900</v>
      </c>
      <c r="N24" s="45">
        <f>+K24</f>
        <v>4000</v>
      </c>
      <c r="O24" s="46">
        <v>1750</v>
      </c>
      <c r="P24" s="44">
        <f t="shared" si="8"/>
        <v>2250</v>
      </c>
      <c r="Q24" s="51">
        <f t="shared" si="0"/>
        <v>12000</v>
      </c>
      <c r="R24" s="52">
        <f t="shared" si="1"/>
        <v>7450</v>
      </c>
      <c r="S24" s="53">
        <f t="shared" si="9"/>
        <v>4550</v>
      </c>
      <c r="T24" s="46">
        <f>+N24</f>
        <v>4000</v>
      </c>
      <c r="U24" s="46">
        <v>908</v>
      </c>
      <c r="V24" s="54">
        <f t="shared" si="10"/>
        <v>3092</v>
      </c>
      <c r="W24" s="45">
        <f>+T24</f>
        <v>4000</v>
      </c>
      <c r="X24" s="46">
        <v>4998</v>
      </c>
      <c r="Y24" s="54">
        <f t="shared" si="11"/>
        <v>-998</v>
      </c>
      <c r="Z24" s="45">
        <f>+W24</f>
        <v>4000</v>
      </c>
      <c r="AA24" s="46">
        <v>1092</v>
      </c>
      <c r="AB24" s="54">
        <f t="shared" si="12"/>
        <v>2908</v>
      </c>
      <c r="AC24" s="51">
        <f t="shared" si="2"/>
        <v>24000</v>
      </c>
      <c r="AD24" s="52">
        <f t="shared" si="3"/>
        <v>14448</v>
      </c>
      <c r="AE24" s="53">
        <f t="shared" si="20"/>
        <v>9552</v>
      </c>
      <c r="AF24" s="45">
        <f>+Z24</f>
        <v>4000</v>
      </c>
      <c r="AG24" s="46">
        <v>2858.3</v>
      </c>
      <c r="AH24" s="54">
        <f t="shared" si="13"/>
        <v>1141.6999999999998</v>
      </c>
      <c r="AI24" s="45">
        <f>+AF24</f>
        <v>4000</v>
      </c>
      <c r="AJ24" s="46">
        <v>1600</v>
      </c>
      <c r="AK24" s="54">
        <f t="shared" si="14"/>
        <v>2400</v>
      </c>
      <c r="AL24" s="45">
        <f>+AI24</f>
        <v>4000</v>
      </c>
      <c r="AM24" s="46">
        <f>500-400</f>
        <v>100</v>
      </c>
      <c r="AN24" s="54">
        <f t="shared" si="15"/>
        <v>3900</v>
      </c>
      <c r="AO24" s="45">
        <f>+AL24</f>
        <v>4000</v>
      </c>
      <c r="AP24" s="46">
        <v>-250.02</v>
      </c>
      <c r="AQ24" s="54">
        <f t="shared" si="16"/>
        <v>4250.02</v>
      </c>
      <c r="AR24" s="45">
        <f>+AO24</f>
        <v>4000</v>
      </c>
      <c r="AS24" s="46"/>
      <c r="AT24" s="54">
        <f t="shared" si="17"/>
        <v>4000</v>
      </c>
      <c r="AU24" s="45">
        <f>+AR24</f>
        <v>4000</v>
      </c>
      <c r="AV24" s="46">
        <v>4066.67</v>
      </c>
      <c r="AW24" s="54">
        <f t="shared" si="18"/>
        <v>-66.67000000000007</v>
      </c>
      <c r="AX24" s="25">
        <f t="shared" si="26"/>
        <v>48000</v>
      </c>
      <c r="AY24" s="62">
        <f t="shared" si="23"/>
        <v>0.017479168220267648</v>
      </c>
      <c r="AZ24" s="45">
        <f t="shared" si="4"/>
        <v>48000</v>
      </c>
      <c r="BA24" s="46">
        <f t="shared" si="5"/>
        <v>22822.949999999997</v>
      </c>
      <c r="BB24" s="67">
        <f t="shared" si="19"/>
        <v>25177.050000000003</v>
      </c>
      <c r="BC24" s="87">
        <f t="shared" si="24"/>
        <v>0.007928237947427046</v>
      </c>
      <c r="BD24" s="87">
        <f t="shared" si="25"/>
        <v>0.01656788046710558</v>
      </c>
      <c r="BE24" s="5">
        <f t="shared" si="21"/>
        <v>0.524521875</v>
      </c>
      <c r="BF24" s="6">
        <f t="shared" si="22"/>
        <v>0.4754781249999999</v>
      </c>
      <c r="BG24" s="2"/>
      <c r="BH24" s="2"/>
    </row>
    <row r="25" spans="1:60" s="59" customFormat="1" ht="12.75">
      <c r="A25" s="1" t="s">
        <v>31</v>
      </c>
      <c r="B25" s="1"/>
      <c r="C25" s="1"/>
      <c r="D25" s="1"/>
      <c r="E25" s="1" t="s">
        <v>32</v>
      </c>
      <c r="F25" s="42">
        <v>1000</v>
      </c>
      <c r="G25" s="43">
        <f>170.1+349.44+211.13+13.93</f>
        <v>744.5999999999999</v>
      </c>
      <c r="H25" s="44">
        <f t="shared" si="6"/>
        <v>255.4000000000001</v>
      </c>
      <c r="I25" s="43"/>
      <c r="J25" s="43"/>
      <c r="K25" s="45">
        <f>+F25</f>
        <v>1000</v>
      </c>
      <c r="L25" s="46">
        <f>1120.73+19.8</f>
        <v>1140.53</v>
      </c>
      <c r="M25" s="43">
        <f t="shared" si="7"/>
        <v>-140.52999999999997</v>
      </c>
      <c r="N25" s="45">
        <f>+K25</f>
        <v>1000</v>
      </c>
      <c r="O25" s="46">
        <f>802.88+106.19</f>
        <v>909.0699999999999</v>
      </c>
      <c r="P25" s="44">
        <f t="shared" si="8"/>
        <v>90.93000000000006</v>
      </c>
      <c r="Q25" s="51">
        <f t="shared" si="0"/>
        <v>3000</v>
      </c>
      <c r="R25" s="52">
        <f t="shared" si="1"/>
        <v>2794.2</v>
      </c>
      <c r="S25" s="53">
        <f t="shared" si="9"/>
        <v>205.80000000000018</v>
      </c>
      <c r="T25" s="46">
        <f>+N25</f>
        <v>1000</v>
      </c>
      <c r="U25" s="46">
        <f>170.1+979.68+403.2+19.81</f>
        <v>1572.79</v>
      </c>
      <c r="V25" s="54">
        <f t="shared" si="10"/>
        <v>-572.79</v>
      </c>
      <c r="W25" s="45">
        <f>+T25</f>
        <v>1000</v>
      </c>
      <c r="X25" s="46">
        <f>86.21+247.2+17.96+197.32</f>
        <v>548.6899999999999</v>
      </c>
      <c r="Y25" s="54">
        <f t="shared" si="11"/>
        <v>451.31000000000006</v>
      </c>
      <c r="Z25" s="45">
        <f>+W25</f>
        <v>1000</v>
      </c>
      <c r="AA25" s="46">
        <f>249.84+26.39</f>
        <v>276.23</v>
      </c>
      <c r="AB25" s="54">
        <f t="shared" si="12"/>
        <v>723.77</v>
      </c>
      <c r="AC25" s="51">
        <f t="shared" si="2"/>
        <v>6000</v>
      </c>
      <c r="AD25" s="52">
        <f t="shared" si="3"/>
        <v>5191.91</v>
      </c>
      <c r="AE25" s="53">
        <f t="shared" si="20"/>
        <v>808.0900000000001</v>
      </c>
      <c r="AF25" s="45">
        <f>+Z25</f>
        <v>1000</v>
      </c>
      <c r="AG25" s="46">
        <f>170.1+1761.86</f>
        <v>1931.9599999999998</v>
      </c>
      <c r="AH25" s="54">
        <f t="shared" si="13"/>
        <v>-931.9599999999998</v>
      </c>
      <c r="AI25" s="45">
        <f>+AF25</f>
        <v>1000</v>
      </c>
      <c r="AJ25" s="46"/>
      <c r="AK25" s="54">
        <f t="shared" si="14"/>
        <v>1000</v>
      </c>
      <c r="AL25" s="45">
        <f>+AI25</f>
        <v>1000</v>
      </c>
      <c r="AM25" s="46">
        <v>361.04</v>
      </c>
      <c r="AN25" s="54">
        <f t="shared" si="15"/>
        <v>638.96</v>
      </c>
      <c r="AO25" s="45">
        <f>+AL25</f>
        <v>1000</v>
      </c>
      <c r="AP25" s="46">
        <f>603.47+170.1+888+2306.69</f>
        <v>3968.26</v>
      </c>
      <c r="AQ25" s="54">
        <f t="shared" si="16"/>
        <v>-2968.26</v>
      </c>
      <c r="AR25" s="45">
        <f>+AO25</f>
        <v>1000</v>
      </c>
      <c r="AS25" s="43">
        <v>6.6</v>
      </c>
      <c r="AT25" s="54">
        <f t="shared" si="17"/>
        <v>993.4</v>
      </c>
      <c r="AU25" s="45">
        <f>+AR25</f>
        <v>1000</v>
      </c>
      <c r="AV25" s="46">
        <f>344.84+832+1200+7.33</f>
        <v>2384.17</v>
      </c>
      <c r="AW25" s="54">
        <f t="shared" si="18"/>
        <v>-1384.17</v>
      </c>
      <c r="AX25" s="25">
        <f t="shared" si="26"/>
        <v>12000</v>
      </c>
      <c r="AY25" s="62"/>
      <c r="AZ25" s="45">
        <f t="shared" si="4"/>
        <v>12000</v>
      </c>
      <c r="BA25" s="46">
        <f t="shared" si="5"/>
        <v>13843.94</v>
      </c>
      <c r="BB25" s="54">
        <f t="shared" si="19"/>
        <v>-1843.9400000000005</v>
      </c>
      <c r="BC25" s="87">
        <f t="shared" si="24"/>
        <v>0.0048091088334287725</v>
      </c>
      <c r="BD25" s="87">
        <f t="shared" si="25"/>
        <v>0.004141970116776395</v>
      </c>
      <c r="BE25" s="5">
        <f t="shared" si="21"/>
        <v>-0.1536616666666667</v>
      </c>
      <c r="BF25" s="6">
        <f t="shared" si="22"/>
        <v>1.1536616666666668</v>
      </c>
      <c r="BG25" s="69"/>
      <c r="BH25" s="2"/>
    </row>
    <row r="26" spans="6:56" ht="12.75">
      <c r="F26" s="42"/>
      <c r="G26" s="43"/>
      <c r="H26" s="44">
        <f t="shared" si="6"/>
        <v>0</v>
      </c>
      <c r="I26" s="43"/>
      <c r="J26" s="43"/>
      <c r="K26" s="45"/>
      <c r="L26" s="46"/>
      <c r="M26" s="43">
        <f t="shared" si="7"/>
        <v>0</v>
      </c>
      <c r="N26" s="45"/>
      <c r="O26" s="46"/>
      <c r="P26" s="44">
        <f t="shared" si="8"/>
        <v>0</v>
      </c>
      <c r="Q26" s="51">
        <f t="shared" si="0"/>
        <v>0</v>
      </c>
      <c r="R26" s="52">
        <f t="shared" si="1"/>
        <v>0</v>
      </c>
      <c r="S26" s="53">
        <f t="shared" si="9"/>
        <v>0</v>
      </c>
      <c r="T26" s="46"/>
      <c r="U26" s="46"/>
      <c r="V26" s="54">
        <f t="shared" si="10"/>
        <v>0</v>
      </c>
      <c r="W26" s="45"/>
      <c r="X26" s="46"/>
      <c r="Y26" s="54">
        <f t="shared" si="11"/>
        <v>0</v>
      </c>
      <c r="Z26" s="45"/>
      <c r="AA26" s="46"/>
      <c r="AB26" s="54">
        <f t="shared" si="12"/>
        <v>0</v>
      </c>
      <c r="AC26" s="51">
        <f t="shared" si="2"/>
        <v>0</v>
      </c>
      <c r="AD26" s="52">
        <f t="shared" si="3"/>
        <v>0</v>
      </c>
      <c r="AE26" s="53">
        <f t="shared" si="20"/>
        <v>0</v>
      </c>
      <c r="AF26" s="45"/>
      <c r="AG26" s="46"/>
      <c r="AH26" s="54">
        <f t="shared" si="13"/>
        <v>0</v>
      </c>
      <c r="AI26" s="45"/>
      <c r="AJ26" s="46"/>
      <c r="AK26" s="54">
        <f t="shared" si="14"/>
        <v>0</v>
      </c>
      <c r="AL26" s="45"/>
      <c r="AM26" s="46"/>
      <c r="AN26" s="54">
        <f t="shared" si="15"/>
        <v>0</v>
      </c>
      <c r="AO26" s="45"/>
      <c r="AP26" s="46"/>
      <c r="AQ26" s="54">
        <f t="shared" si="16"/>
        <v>0</v>
      </c>
      <c r="AR26" s="45"/>
      <c r="AS26" s="46"/>
      <c r="AT26" s="54">
        <f t="shared" si="17"/>
        <v>0</v>
      </c>
      <c r="AU26" s="45"/>
      <c r="AV26" s="46"/>
      <c r="AW26" s="54">
        <f t="shared" si="18"/>
        <v>0</v>
      </c>
      <c r="AX26" s="25">
        <f t="shared" si="26"/>
        <v>0</v>
      </c>
      <c r="AY26" s="62"/>
      <c r="AZ26" s="45">
        <f t="shared" si="4"/>
        <v>0</v>
      </c>
      <c r="BA26" s="46">
        <f t="shared" si="5"/>
        <v>0</v>
      </c>
      <c r="BB26" s="54">
        <f t="shared" si="19"/>
        <v>0</v>
      </c>
      <c r="BC26" s="87"/>
      <c r="BD26" s="87"/>
    </row>
    <row r="27" spans="1:60" s="59" customFormat="1" ht="12.75">
      <c r="A27" s="1" t="s">
        <v>33</v>
      </c>
      <c r="B27" s="1"/>
      <c r="C27" s="1"/>
      <c r="D27" s="1"/>
      <c r="E27" s="1" t="s">
        <v>34</v>
      </c>
      <c r="F27" s="42">
        <v>7500</v>
      </c>
      <c r="G27" s="43">
        <v>7500</v>
      </c>
      <c r="H27" s="44">
        <f t="shared" si="6"/>
        <v>0</v>
      </c>
      <c r="I27" s="43"/>
      <c r="J27" s="43"/>
      <c r="K27" s="45">
        <f>+F27</f>
        <v>7500</v>
      </c>
      <c r="L27" s="46">
        <v>7500</v>
      </c>
      <c r="M27" s="43">
        <f t="shared" si="7"/>
        <v>0</v>
      </c>
      <c r="N27" s="45">
        <f>+K27</f>
        <v>7500</v>
      </c>
      <c r="O27" s="46">
        <f>+L27</f>
        <v>7500</v>
      </c>
      <c r="P27" s="44">
        <f t="shared" si="8"/>
        <v>0</v>
      </c>
      <c r="Q27" s="51">
        <f t="shared" si="0"/>
        <v>22500</v>
      </c>
      <c r="R27" s="52">
        <f t="shared" si="1"/>
        <v>22500</v>
      </c>
      <c r="S27" s="53">
        <f t="shared" si="9"/>
        <v>0</v>
      </c>
      <c r="T27" s="46">
        <f>+N27</f>
        <v>7500</v>
      </c>
      <c r="U27" s="46">
        <f>+O27</f>
        <v>7500</v>
      </c>
      <c r="V27" s="54">
        <f t="shared" si="10"/>
        <v>0</v>
      </c>
      <c r="W27" s="45">
        <f>+T27</f>
        <v>7500</v>
      </c>
      <c r="X27" s="46">
        <f>+U27</f>
        <v>7500</v>
      </c>
      <c r="Y27" s="54">
        <f t="shared" si="11"/>
        <v>0</v>
      </c>
      <c r="Z27" s="45">
        <f>+W27</f>
        <v>7500</v>
      </c>
      <c r="AA27" s="46">
        <f>+X27</f>
        <v>7500</v>
      </c>
      <c r="AB27" s="54">
        <f t="shared" si="12"/>
        <v>0</v>
      </c>
      <c r="AC27" s="51">
        <f t="shared" si="2"/>
        <v>45000</v>
      </c>
      <c r="AD27" s="52">
        <f t="shared" si="3"/>
        <v>45000</v>
      </c>
      <c r="AE27" s="53">
        <f t="shared" si="20"/>
        <v>0</v>
      </c>
      <c r="AF27" s="45">
        <f>+Z27</f>
        <v>7500</v>
      </c>
      <c r="AG27" s="46">
        <f>+AA27</f>
        <v>7500</v>
      </c>
      <c r="AH27" s="54">
        <f t="shared" si="13"/>
        <v>0</v>
      </c>
      <c r="AI27" s="45">
        <f>+AF27</f>
        <v>7500</v>
      </c>
      <c r="AJ27" s="46">
        <f>+AG27</f>
        <v>7500</v>
      </c>
      <c r="AK27" s="54">
        <f t="shared" si="14"/>
        <v>0</v>
      </c>
      <c r="AL27" s="45">
        <f>+AI27</f>
        <v>7500</v>
      </c>
      <c r="AM27" s="46">
        <f>+AJ27</f>
        <v>7500</v>
      </c>
      <c r="AN27" s="54">
        <f t="shared" si="15"/>
        <v>0</v>
      </c>
      <c r="AO27" s="45">
        <f>+AL27</f>
        <v>7500</v>
      </c>
      <c r="AP27" s="46">
        <f>+AM27</f>
        <v>7500</v>
      </c>
      <c r="AQ27" s="54">
        <f t="shared" si="16"/>
        <v>0</v>
      </c>
      <c r="AR27" s="45">
        <f>+AO27</f>
        <v>7500</v>
      </c>
      <c r="AS27" s="46">
        <f>+AP27</f>
        <v>7500</v>
      </c>
      <c r="AT27" s="54">
        <f t="shared" si="17"/>
        <v>0</v>
      </c>
      <c r="AU27" s="45">
        <f>+AR27</f>
        <v>7500</v>
      </c>
      <c r="AV27" s="46">
        <f>+AS27</f>
        <v>7500</v>
      </c>
      <c r="AW27" s="54">
        <f t="shared" si="18"/>
        <v>0</v>
      </c>
      <c r="AX27" s="25">
        <f t="shared" si="26"/>
        <v>90000</v>
      </c>
      <c r="AY27" s="62">
        <f t="shared" si="23"/>
        <v>0.03277344041300184</v>
      </c>
      <c r="AZ27" s="45">
        <f t="shared" si="4"/>
        <v>90000</v>
      </c>
      <c r="BA27" s="46">
        <f t="shared" si="5"/>
        <v>90000</v>
      </c>
      <c r="BB27" s="54">
        <f t="shared" si="19"/>
        <v>0</v>
      </c>
      <c r="BC27" s="87">
        <f t="shared" si="24"/>
        <v>0.03126420621648097</v>
      </c>
      <c r="BD27" s="87">
        <f t="shared" si="25"/>
        <v>0.031064775875822962</v>
      </c>
      <c r="BE27" s="5">
        <f t="shared" si="21"/>
        <v>0</v>
      </c>
      <c r="BF27" s="6">
        <f t="shared" si="22"/>
        <v>1</v>
      </c>
      <c r="BG27" s="2"/>
      <c r="BH27" s="2"/>
    </row>
    <row r="28" spans="1:60" s="59" customFormat="1" ht="12.75">
      <c r="A28" s="1" t="s">
        <v>35</v>
      </c>
      <c r="B28" s="1"/>
      <c r="C28" s="1"/>
      <c r="D28" s="1"/>
      <c r="E28" s="1" t="s">
        <v>36</v>
      </c>
      <c r="F28" s="42">
        <v>338</v>
      </c>
      <c r="G28" s="43">
        <v>337.65</v>
      </c>
      <c r="H28" s="44">
        <f t="shared" si="6"/>
        <v>0.35000000000002274</v>
      </c>
      <c r="I28" s="43"/>
      <c r="J28" s="43"/>
      <c r="K28" s="45">
        <f>+F28</f>
        <v>338</v>
      </c>
      <c r="L28" s="46">
        <v>337.65</v>
      </c>
      <c r="M28" s="43">
        <f t="shared" si="7"/>
        <v>0.35000000000002274</v>
      </c>
      <c r="N28" s="45">
        <f>+K28</f>
        <v>338</v>
      </c>
      <c r="O28" s="46">
        <v>337.65</v>
      </c>
      <c r="P28" s="44">
        <f t="shared" si="8"/>
        <v>0.35000000000002274</v>
      </c>
      <c r="Q28" s="51">
        <f t="shared" si="0"/>
        <v>1014</v>
      </c>
      <c r="R28" s="52">
        <f t="shared" si="1"/>
        <v>1012.9499999999999</v>
      </c>
      <c r="S28" s="53">
        <f t="shared" si="9"/>
        <v>1.0500000000000682</v>
      </c>
      <c r="T28" s="46">
        <f>+N28</f>
        <v>338</v>
      </c>
      <c r="U28" s="46">
        <v>337.65</v>
      </c>
      <c r="V28" s="54">
        <f t="shared" si="10"/>
        <v>0.35000000000002274</v>
      </c>
      <c r="W28" s="45">
        <f>+T28</f>
        <v>338</v>
      </c>
      <c r="X28" s="46">
        <v>337.65</v>
      </c>
      <c r="Y28" s="54">
        <f t="shared" si="11"/>
        <v>0.35000000000002274</v>
      </c>
      <c r="Z28" s="45">
        <f>+W28</f>
        <v>338</v>
      </c>
      <c r="AA28" s="46">
        <v>337.65</v>
      </c>
      <c r="AB28" s="54">
        <f t="shared" si="12"/>
        <v>0.35000000000002274</v>
      </c>
      <c r="AC28" s="51">
        <f t="shared" si="2"/>
        <v>2028</v>
      </c>
      <c r="AD28" s="52">
        <f t="shared" si="3"/>
        <v>2025.9</v>
      </c>
      <c r="AE28" s="53">
        <f t="shared" si="20"/>
        <v>2.099999999999909</v>
      </c>
      <c r="AF28" s="45">
        <f>+Z28</f>
        <v>338</v>
      </c>
      <c r="AG28" s="46">
        <v>337.65</v>
      </c>
      <c r="AH28" s="54">
        <f t="shared" si="13"/>
        <v>0.35000000000002274</v>
      </c>
      <c r="AI28" s="45">
        <f>+AF28</f>
        <v>338</v>
      </c>
      <c r="AJ28" s="46">
        <v>337.65</v>
      </c>
      <c r="AK28" s="54">
        <f t="shared" si="14"/>
        <v>0.35000000000002274</v>
      </c>
      <c r="AL28" s="45">
        <f>+AI28</f>
        <v>338</v>
      </c>
      <c r="AM28" s="46">
        <v>337.65</v>
      </c>
      <c r="AN28" s="54">
        <f t="shared" si="15"/>
        <v>0.35000000000002274</v>
      </c>
      <c r="AO28" s="45">
        <f>+AL28</f>
        <v>338</v>
      </c>
      <c r="AP28" s="46">
        <v>337.65</v>
      </c>
      <c r="AQ28" s="54">
        <f t="shared" si="16"/>
        <v>0.35000000000002274</v>
      </c>
      <c r="AR28" s="45">
        <f>+AO28</f>
        <v>338</v>
      </c>
      <c r="AS28" s="46">
        <v>337.65</v>
      </c>
      <c r="AT28" s="54">
        <f t="shared" si="17"/>
        <v>0.35000000000002274</v>
      </c>
      <c r="AU28" s="45">
        <f>+AR28</f>
        <v>338</v>
      </c>
      <c r="AV28" s="46">
        <v>337.65</v>
      </c>
      <c r="AW28" s="54">
        <f t="shared" si="18"/>
        <v>0.35000000000002274</v>
      </c>
      <c r="AX28" s="25">
        <f t="shared" si="26"/>
        <v>4056</v>
      </c>
      <c r="AY28" s="62"/>
      <c r="AZ28" s="45">
        <f t="shared" si="4"/>
        <v>4056</v>
      </c>
      <c r="BA28" s="46">
        <f t="shared" si="5"/>
        <v>4051.8000000000006</v>
      </c>
      <c r="BB28" s="54">
        <f t="shared" si="19"/>
        <v>4.199999999999363</v>
      </c>
      <c r="BC28" s="87">
        <f t="shared" si="24"/>
        <v>0.0014075145638659733</v>
      </c>
      <c r="BD28" s="87">
        <f t="shared" si="25"/>
        <v>0.0013999858994704216</v>
      </c>
      <c r="BE28" s="5">
        <f t="shared" si="21"/>
        <v>0.0010355029585797247</v>
      </c>
      <c r="BF28" s="6">
        <f t="shared" si="22"/>
        <v>0.9989644970414203</v>
      </c>
      <c r="BG28" s="2"/>
      <c r="BH28" s="2"/>
    </row>
    <row r="29" spans="1:60" s="59" customFormat="1" ht="12.75">
      <c r="A29" s="1" t="s">
        <v>37</v>
      </c>
      <c r="B29" s="1"/>
      <c r="C29" s="1"/>
      <c r="D29" s="1"/>
      <c r="E29" s="1" t="s">
        <v>38</v>
      </c>
      <c r="F29" s="42">
        <v>4500</v>
      </c>
      <c r="G29" s="43">
        <v>4500</v>
      </c>
      <c r="H29" s="44">
        <f t="shared" si="6"/>
        <v>0</v>
      </c>
      <c r="I29" s="43"/>
      <c r="J29" s="43"/>
      <c r="K29" s="45">
        <f>+F29</f>
        <v>4500</v>
      </c>
      <c r="L29" s="46">
        <v>3370.75</v>
      </c>
      <c r="M29" s="43">
        <f t="shared" si="7"/>
        <v>1129.25</v>
      </c>
      <c r="N29" s="45">
        <f>+K29</f>
        <v>4500</v>
      </c>
      <c r="O29" s="46">
        <v>3370.75</v>
      </c>
      <c r="P29" s="44">
        <f t="shared" si="8"/>
        <v>1129.25</v>
      </c>
      <c r="Q29" s="51">
        <f t="shared" si="0"/>
        <v>13500</v>
      </c>
      <c r="R29" s="52">
        <f t="shared" si="1"/>
        <v>11241.5</v>
      </c>
      <c r="S29" s="53">
        <f t="shared" si="9"/>
        <v>2258.5</v>
      </c>
      <c r="T29" s="46">
        <f>+N29</f>
        <v>4500</v>
      </c>
      <c r="U29" s="46">
        <v>3370.75</v>
      </c>
      <c r="V29" s="54">
        <f t="shared" si="10"/>
        <v>1129.25</v>
      </c>
      <c r="W29" s="45">
        <f>+T29</f>
        <v>4500</v>
      </c>
      <c r="X29" s="46">
        <v>3370.75</v>
      </c>
      <c r="Y29" s="54">
        <f t="shared" si="11"/>
        <v>1129.25</v>
      </c>
      <c r="Z29" s="45">
        <f>+W29</f>
        <v>4500</v>
      </c>
      <c r="AA29" s="46">
        <v>3370.75</v>
      </c>
      <c r="AB29" s="54">
        <f t="shared" si="12"/>
        <v>1129.25</v>
      </c>
      <c r="AC29" s="51">
        <f t="shared" si="2"/>
        <v>27000</v>
      </c>
      <c r="AD29" s="52">
        <f t="shared" si="3"/>
        <v>21353.75</v>
      </c>
      <c r="AE29" s="53">
        <f t="shared" si="20"/>
        <v>5646.25</v>
      </c>
      <c r="AF29" s="45">
        <f>+Z29</f>
        <v>4500</v>
      </c>
      <c r="AG29" s="46">
        <v>3370.75</v>
      </c>
      <c r="AH29" s="54">
        <f t="shared" si="13"/>
        <v>1129.25</v>
      </c>
      <c r="AI29" s="45">
        <f>+AF29</f>
        <v>4500</v>
      </c>
      <c r="AJ29" s="46">
        <v>3370.75</v>
      </c>
      <c r="AK29" s="54">
        <f t="shared" si="14"/>
        <v>1129.25</v>
      </c>
      <c r="AL29" s="45">
        <f>+AI29</f>
        <v>4500</v>
      </c>
      <c r="AM29" s="46">
        <v>3370.75</v>
      </c>
      <c r="AN29" s="54">
        <f t="shared" si="15"/>
        <v>1129.25</v>
      </c>
      <c r="AO29" s="45">
        <f>+AL29</f>
        <v>4500</v>
      </c>
      <c r="AP29" s="46">
        <v>3370.75</v>
      </c>
      <c r="AQ29" s="54">
        <f t="shared" si="16"/>
        <v>1129.25</v>
      </c>
      <c r="AR29" s="45">
        <f>+AO29</f>
        <v>4500</v>
      </c>
      <c r="AS29" s="46">
        <v>3370.75</v>
      </c>
      <c r="AT29" s="54">
        <f t="shared" si="17"/>
        <v>1129.25</v>
      </c>
      <c r="AU29" s="45">
        <f>+AR29</f>
        <v>4500</v>
      </c>
      <c r="AV29" s="46">
        <v>3370.75</v>
      </c>
      <c r="AW29" s="54">
        <f t="shared" si="18"/>
        <v>1129.25</v>
      </c>
      <c r="AX29" s="25">
        <f t="shared" si="26"/>
        <v>54000</v>
      </c>
      <c r="AY29" s="62"/>
      <c r="AZ29" s="45">
        <f t="shared" si="4"/>
        <v>54000</v>
      </c>
      <c r="BA29" s="46">
        <f t="shared" si="5"/>
        <v>41578.25</v>
      </c>
      <c r="BB29" s="54">
        <f t="shared" si="19"/>
        <v>12421.75</v>
      </c>
      <c r="BC29" s="87">
        <f t="shared" si="24"/>
        <v>0.01444345535689333</v>
      </c>
      <c r="BD29" s="87">
        <f t="shared" si="25"/>
        <v>0.018638865525493778</v>
      </c>
      <c r="BE29" s="5">
        <f t="shared" si="21"/>
        <v>0.2300324074074074</v>
      </c>
      <c r="BF29" s="6">
        <f t="shared" si="22"/>
        <v>0.7699675925925926</v>
      </c>
      <c r="BG29" s="2"/>
      <c r="BH29" s="2"/>
    </row>
    <row r="30" spans="1:60" s="59" customFormat="1" ht="12.75">
      <c r="A30" s="1" t="s">
        <v>39</v>
      </c>
      <c r="B30" s="1"/>
      <c r="C30" s="1"/>
      <c r="D30" s="1"/>
      <c r="E30" s="1" t="s">
        <v>40</v>
      </c>
      <c r="F30" s="42">
        <v>98</v>
      </c>
      <c r="G30" s="43">
        <v>100.35</v>
      </c>
      <c r="H30" s="44">
        <f t="shared" si="6"/>
        <v>-2.3499999999999943</v>
      </c>
      <c r="I30" s="43"/>
      <c r="J30" s="43"/>
      <c r="K30" s="45">
        <f>+F30</f>
        <v>98</v>
      </c>
      <c r="L30" s="46">
        <v>100.35</v>
      </c>
      <c r="M30" s="43">
        <f t="shared" si="7"/>
        <v>-2.3499999999999943</v>
      </c>
      <c r="N30" s="45">
        <f>+K30</f>
        <v>98</v>
      </c>
      <c r="O30" s="46">
        <v>100.35</v>
      </c>
      <c r="P30" s="44">
        <f t="shared" si="8"/>
        <v>-2.3499999999999943</v>
      </c>
      <c r="Q30" s="51">
        <f t="shared" si="0"/>
        <v>294</v>
      </c>
      <c r="R30" s="52">
        <f t="shared" si="1"/>
        <v>301.04999999999995</v>
      </c>
      <c r="S30" s="53">
        <f t="shared" si="9"/>
        <v>-7.0499999999999545</v>
      </c>
      <c r="T30" s="46">
        <f>+N30</f>
        <v>98</v>
      </c>
      <c r="U30" s="46">
        <v>100.35</v>
      </c>
      <c r="V30" s="54">
        <f t="shared" si="10"/>
        <v>-2.3499999999999943</v>
      </c>
      <c r="W30" s="45">
        <f>+T30</f>
        <v>98</v>
      </c>
      <c r="X30" s="46">
        <v>100</v>
      </c>
      <c r="Y30" s="54">
        <f t="shared" si="11"/>
        <v>-2</v>
      </c>
      <c r="Z30" s="45">
        <f>+W30</f>
        <v>98</v>
      </c>
      <c r="AA30" s="46"/>
      <c r="AB30" s="54">
        <f t="shared" si="12"/>
        <v>98</v>
      </c>
      <c r="AC30" s="51">
        <f t="shared" si="2"/>
        <v>588</v>
      </c>
      <c r="AD30" s="52">
        <f t="shared" si="3"/>
        <v>501.4</v>
      </c>
      <c r="AE30" s="53">
        <f t="shared" si="20"/>
        <v>86.60000000000002</v>
      </c>
      <c r="AF30" s="45">
        <f>+Z30</f>
        <v>98</v>
      </c>
      <c r="AG30" s="46"/>
      <c r="AH30" s="54">
        <f t="shared" si="13"/>
        <v>98</v>
      </c>
      <c r="AI30" s="45">
        <f>+AF30</f>
        <v>98</v>
      </c>
      <c r="AJ30" s="46"/>
      <c r="AK30" s="54">
        <f t="shared" si="14"/>
        <v>98</v>
      </c>
      <c r="AL30" s="45">
        <f>+AI30</f>
        <v>98</v>
      </c>
      <c r="AM30" s="46"/>
      <c r="AN30" s="54">
        <f t="shared" si="15"/>
        <v>98</v>
      </c>
      <c r="AO30" s="45">
        <f>+AL30</f>
        <v>98</v>
      </c>
      <c r="AP30" s="46"/>
      <c r="AQ30" s="54">
        <f t="shared" si="16"/>
        <v>98</v>
      </c>
      <c r="AR30" s="45">
        <f>+AO30</f>
        <v>98</v>
      </c>
      <c r="AS30" s="46"/>
      <c r="AT30" s="54">
        <f t="shared" si="17"/>
        <v>98</v>
      </c>
      <c r="AU30" s="45">
        <f>+AR30</f>
        <v>98</v>
      </c>
      <c r="AV30" s="46"/>
      <c r="AW30" s="54">
        <f t="shared" si="18"/>
        <v>98</v>
      </c>
      <c r="AX30" s="25">
        <f t="shared" si="26"/>
        <v>1176</v>
      </c>
      <c r="AY30" s="62"/>
      <c r="AZ30" s="45">
        <f t="shared" si="4"/>
        <v>1176</v>
      </c>
      <c r="BA30" s="46">
        <f t="shared" si="5"/>
        <v>501.4</v>
      </c>
      <c r="BB30" s="54">
        <f t="shared" si="19"/>
        <v>674.6</v>
      </c>
      <c r="BC30" s="87">
        <f t="shared" si="24"/>
        <v>0.00017417636663270616</v>
      </c>
      <c r="BD30" s="87">
        <f t="shared" si="25"/>
        <v>0.0004059130714440867</v>
      </c>
      <c r="BE30" s="5">
        <f t="shared" si="21"/>
        <v>0.5736394557823129</v>
      </c>
      <c r="BF30" s="6">
        <f t="shared" si="22"/>
        <v>0.42636054421768704</v>
      </c>
      <c r="BG30" s="2"/>
      <c r="BH30" s="2"/>
    </row>
    <row r="31" spans="6:56" ht="12.75">
      <c r="F31" s="42"/>
      <c r="G31" s="43"/>
      <c r="H31" s="44">
        <f t="shared" si="6"/>
        <v>0</v>
      </c>
      <c r="I31" s="43"/>
      <c r="J31" s="43"/>
      <c r="K31" s="45"/>
      <c r="L31" s="46"/>
      <c r="M31" s="43">
        <f t="shared" si="7"/>
        <v>0</v>
      </c>
      <c r="N31" s="45"/>
      <c r="O31" s="46"/>
      <c r="P31" s="44">
        <f t="shared" si="8"/>
        <v>0</v>
      </c>
      <c r="Q31" s="51">
        <f t="shared" si="0"/>
        <v>0</v>
      </c>
      <c r="R31" s="52">
        <f t="shared" si="1"/>
        <v>0</v>
      </c>
      <c r="S31" s="53">
        <f t="shared" si="9"/>
        <v>0</v>
      </c>
      <c r="T31" s="46"/>
      <c r="U31" s="46"/>
      <c r="V31" s="54">
        <f t="shared" si="10"/>
        <v>0</v>
      </c>
      <c r="W31" s="45"/>
      <c r="X31" s="46"/>
      <c r="Y31" s="54">
        <f t="shared" si="11"/>
        <v>0</v>
      </c>
      <c r="Z31" s="45"/>
      <c r="AA31" s="46"/>
      <c r="AB31" s="54">
        <f t="shared" si="12"/>
        <v>0</v>
      </c>
      <c r="AC31" s="51">
        <f t="shared" si="2"/>
        <v>0</v>
      </c>
      <c r="AD31" s="52">
        <f t="shared" si="3"/>
        <v>0</v>
      </c>
      <c r="AE31" s="53">
        <f t="shared" si="20"/>
        <v>0</v>
      </c>
      <c r="AF31" s="45"/>
      <c r="AG31" s="46"/>
      <c r="AH31" s="54">
        <f t="shared" si="13"/>
        <v>0</v>
      </c>
      <c r="AI31" s="45"/>
      <c r="AJ31" s="46"/>
      <c r="AK31" s="54">
        <f t="shared" si="14"/>
        <v>0</v>
      </c>
      <c r="AL31" s="45"/>
      <c r="AM31" s="46"/>
      <c r="AN31" s="54">
        <f t="shared" si="15"/>
        <v>0</v>
      </c>
      <c r="AO31" s="45"/>
      <c r="AP31" s="46"/>
      <c r="AQ31" s="54">
        <f t="shared" si="16"/>
        <v>0</v>
      </c>
      <c r="AR31" s="45"/>
      <c r="AS31" s="46"/>
      <c r="AT31" s="54">
        <f t="shared" si="17"/>
        <v>0</v>
      </c>
      <c r="AU31" s="45"/>
      <c r="AV31" s="46"/>
      <c r="AW31" s="54">
        <f t="shared" si="18"/>
        <v>0</v>
      </c>
      <c r="AX31" s="25"/>
      <c r="AY31" s="62"/>
      <c r="AZ31" s="45">
        <f t="shared" si="4"/>
        <v>0</v>
      </c>
      <c r="BA31" s="46">
        <f t="shared" si="5"/>
        <v>0</v>
      </c>
      <c r="BB31" s="54">
        <f t="shared" si="19"/>
        <v>0</v>
      </c>
      <c r="BC31" s="87"/>
      <c r="BD31" s="87"/>
    </row>
    <row r="32" spans="1:60" s="59" customFormat="1" ht="12.75">
      <c r="A32" s="1" t="s">
        <v>41</v>
      </c>
      <c r="B32" s="1"/>
      <c r="C32" s="1"/>
      <c r="D32" s="1"/>
      <c r="E32" s="1" t="s">
        <v>42</v>
      </c>
      <c r="F32" s="42">
        <v>163.63636363636363</v>
      </c>
      <c r="G32" s="43">
        <v>658.18</v>
      </c>
      <c r="H32" s="63">
        <f t="shared" si="6"/>
        <v>-494.5436363636363</v>
      </c>
      <c r="I32" s="61"/>
      <c r="J32" s="61"/>
      <c r="K32" s="45">
        <f>+F32</f>
        <v>163.63636363636363</v>
      </c>
      <c r="L32" s="46">
        <v>71.07</v>
      </c>
      <c r="M32" s="43">
        <f t="shared" si="7"/>
        <v>92.56636363636363</v>
      </c>
      <c r="N32" s="45">
        <f>+K32</f>
        <v>163.63636363636363</v>
      </c>
      <c r="O32" s="46"/>
      <c r="P32" s="44">
        <f t="shared" si="8"/>
        <v>163.63636363636363</v>
      </c>
      <c r="Q32" s="51">
        <f t="shared" si="0"/>
        <v>490.9090909090909</v>
      </c>
      <c r="R32" s="52">
        <f t="shared" si="1"/>
        <v>729.25</v>
      </c>
      <c r="S32" s="53">
        <f t="shared" si="9"/>
        <v>-238.34090909090912</v>
      </c>
      <c r="T32" s="46">
        <f>+N32</f>
        <v>163.63636363636363</v>
      </c>
      <c r="U32" s="46"/>
      <c r="V32" s="54">
        <f t="shared" si="10"/>
        <v>163.63636363636363</v>
      </c>
      <c r="W32" s="45">
        <f>+T32</f>
        <v>163.63636363636363</v>
      </c>
      <c r="X32" s="46">
        <v>70.08</v>
      </c>
      <c r="Y32" s="54">
        <f t="shared" si="11"/>
        <v>93.55636363636363</v>
      </c>
      <c r="Z32" s="45">
        <f>+W32</f>
        <v>163.63636363636363</v>
      </c>
      <c r="AA32" s="46">
        <v>83.9</v>
      </c>
      <c r="AB32" s="54">
        <f t="shared" si="12"/>
        <v>79.73636363636362</v>
      </c>
      <c r="AC32" s="51">
        <f t="shared" si="2"/>
        <v>981.8181818181818</v>
      </c>
      <c r="AD32" s="52">
        <f t="shared" si="3"/>
        <v>883.23</v>
      </c>
      <c r="AE32" s="53">
        <f t="shared" si="20"/>
        <v>98.58818181818174</v>
      </c>
      <c r="AF32" s="45">
        <f>+Z32</f>
        <v>163.63636363636363</v>
      </c>
      <c r="AG32" s="46">
        <v>7.76</v>
      </c>
      <c r="AH32" s="54">
        <f t="shared" si="13"/>
        <v>155.87636363636364</v>
      </c>
      <c r="AI32" s="45">
        <f>+AF32</f>
        <v>163.63636363636363</v>
      </c>
      <c r="AJ32" s="46"/>
      <c r="AK32" s="54">
        <f t="shared" si="14"/>
        <v>163.63636363636363</v>
      </c>
      <c r="AL32" s="45">
        <f>+AI32</f>
        <v>163.63636363636363</v>
      </c>
      <c r="AM32" s="46"/>
      <c r="AN32" s="54">
        <f t="shared" si="15"/>
        <v>163.63636363636363</v>
      </c>
      <c r="AO32" s="45">
        <f>+AL32</f>
        <v>163.63636363636363</v>
      </c>
      <c r="AP32" s="46">
        <v>348.88</v>
      </c>
      <c r="AQ32" s="54">
        <f t="shared" si="16"/>
        <v>-185.24363636363637</v>
      </c>
      <c r="AR32" s="45">
        <f>+AO32</f>
        <v>163.63636363636363</v>
      </c>
      <c r="AS32" s="46"/>
      <c r="AT32" s="54">
        <f t="shared" si="17"/>
        <v>163.63636363636363</v>
      </c>
      <c r="AU32" s="45">
        <f>+AR32</f>
        <v>163.63636363636363</v>
      </c>
      <c r="AV32" s="46">
        <v>565.22</v>
      </c>
      <c r="AW32" s="54">
        <f t="shared" si="18"/>
        <v>-401.5836363636364</v>
      </c>
      <c r="AX32" s="25">
        <f>+F32+K32+N32+T32+W32+Z32+AF32+AI32+AL32+AO32+AR32+AU32</f>
        <v>1963.636363636363</v>
      </c>
      <c r="AY32" s="62">
        <f t="shared" si="23"/>
        <v>0.0007150568817382218</v>
      </c>
      <c r="AZ32" s="45">
        <f t="shared" si="4"/>
        <v>1963.636363636363</v>
      </c>
      <c r="BA32" s="46">
        <f t="shared" si="5"/>
        <v>1805.09</v>
      </c>
      <c r="BB32" s="54">
        <f t="shared" si="19"/>
        <v>158.54636363636314</v>
      </c>
      <c r="BC32" s="87">
        <f t="shared" si="24"/>
        <v>0.0006270522888811958</v>
      </c>
      <c r="BD32" s="87">
        <f t="shared" si="25"/>
        <v>0.0006777769281997735</v>
      </c>
      <c r="BE32" s="5">
        <f t="shared" si="21"/>
        <v>0.08074120370370347</v>
      </c>
      <c r="BF32" s="6">
        <f t="shared" si="22"/>
        <v>0.9192587962962965</v>
      </c>
      <c r="BG32" s="2"/>
      <c r="BH32" s="2"/>
    </row>
    <row r="33" spans="6:56" ht="12.75">
      <c r="F33" s="42"/>
      <c r="G33" s="43"/>
      <c r="H33" s="44">
        <f t="shared" si="6"/>
        <v>0</v>
      </c>
      <c r="I33" s="43"/>
      <c r="J33" s="43"/>
      <c r="K33" s="45"/>
      <c r="L33" s="46"/>
      <c r="M33" s="43">
        <f t="shared" si="7"/>
        <v>0</v>
      </c>
      <c r="N33" s="45"/>
      <c r="O33" s="46"/>
      <c r="P33" s="44">
        <f t="shared" si="8"/>
        <v>0</v>
      </c>
      <c r="Q33" s="51">
        <f t="shared" si="0"/>
        <v>0</v>
      </c>
      <c r="R33" s="52">
        <f t="shared" si="1"/>
        <v>0</v>
      </c>
      <c r="S33" s="53">
        <f t="shared" si="9"/>
        <v>0</v>
      </c>
      <c r="T33" s="46"/>
      <c r="U33" s="46"/>
      <c r="V33" s="54">
        <f t="shared" si="10"/>
        <v>0</v>
      </c>
      <c r="W33" s="45"/>
      <c r="X33" s="46"/>
      <c r="Y33" s="54">
        <f t="shared" si="11"/>
        <v>0</v>
      </c>
      <c r="Z33" s="45"/>
      <c r="AA33" s="46"/>
      <c r="AB33" s="54">
        <f t="shared" si="12"/>
        <v>0</v>
      </c>
      <c r="AC33" s="51">
        <f t="shared" si="2"/>
        <v>0</v>
      </c>
      <c r="AD33" s="52">
        <f t="shared" si="3"/>
        <v>0</v>
      </c>
      <c r="AE33" s="53">
        <f t="shared" si="20"/>
        <v>0</v>
      </c>
      <c r="AF33" s="45"/>
      <c r="AG33" s="46"/>
      <c r="AH33" s="54">
        <f t="shared" si="13"/>
        <v>0</v>
      </c>
      <c r="AI33" s="45"/>
      <c r="AJ33" s="46"/>
      <c r="AK33" s="54">
        <f t="shared" si="14"/>
        <v>0</v>
      </c>
      <c r="AL33" s="45"/>
      <c r="AM33" s="46"/>
      <c r="AN33" s="54">
        <f t="shared" si="15"/>
        <v>0</v>
      </c>
      <c r="AO33" s="45"/>
      <c r="AP33" s="46"/>
      <c r="AQ33" s="54">
        <f t="shared" si="16"/>
        <v>0</v>
      </c>
      <c r="AR33" s="45"/>
      <c r="AS33" s="46"/>
      <c r="AT33" s="54">
        <f t="shared" si="17"/>
        <v>0</v>
      </c>
      <c r="AU33" s="45"/>
      <c r="AV33" s="46"/>
      <c r="AW33" s="54">
        <f t="shared" si="18"/>
        <v>0</v>
      </c>
      <c r="AX33" s="25"/>
      <c r="AY33" s="62"/>
      <c r="AZ33" s="45">
        <f t="shared" si="4"/>
        <v>0</v>
      </c>
      <c r="BA33" s="46">
        <f t="shared" si="5"/>
        <v>0</v>
      </c>
      <c r="BB33" s="54">
        <f t="shared" si="19"/>
        <v>0</v>
      </c>
      <c r="BC33" s="87"/>
      <c r="BD33" s="87"/>
    </row>
    <row r="34" spans="1:60" s="59" customFormat="1" ht="12.75">
      <c r="A34" s="1" t="s">
        <v>43</v>
      </c>
      <c r="B34" s="1"/>
      <c r="C34" s="1"/>
      <c r="D34" s="1"/>
      <c r="E34" s="1" t="s">
        <v>44</v>
      </c>
      <c r="F34" s="42">
        <v>50</v>
      </c>
      <c r="G34" s="43"/>
      <c r="H34" s="44">
        <f t="shared" si="6"/>
        <v>50</v>
      </c>
      <c r="I34" s="43"/>
      <c r="J34" s="43"/>
      <c r="K34" s="45">
        <f>+F34</f>
        <v>50</v>
      </c>
      <c r="L34" s="46">
        <v>346.16</v>
      </c>
      <c r="M34" s="43">
        <f t="shared" si="7"/>
        <v>-296.16</v>
      </c>
      <c r="N34" s="45">
        <f>+K34</f>
        <v>50</v>
      </c>
      <c r="O34" s="46"/>
      <c r="P34" s="44">
        <f t="shared" si="8"/>
        <v>50</v>
      </c>
      <c r="Q34" s="51">
        <f t="shared" si="0"/>
        <v>150</v>
      </c>
      <c r="R34" s="52">
        <f t="shared" si="1"/>
        <v>346.16</v>
      </c>
      <c r="S34" s="53">
        <f t="shared" si="9"/>
        <v>-196.16000000000003</v>
      </c>
      <c r="T34" s="46">
        <f>+N34</f>
        <v>50</v>
      </c>
      <c r="U34" s="46">
        <v>165.82</v>
      </c>
      <c r="V34" s="54">
        <f t="shared" si="10"/>
        <v>-115.82</v>
      </c>
      <c r="W34" s="45">
        <f>+T34</f>
        <v>50</v>
      </c>
      <c r="X34" s="46"/>
      <c r="Y34" s="54">
        <f t="shared" si="11"/>
        <v>50</v>
      </c>
      <c r="Z34" s="45">
        <f>+W34</f>
        <v>50</v>
      </c>
      <c r="AA34" s="46">
        <f>18.04+18.48</f>
        <v>36.519999999999996</v>
      </c>
      <c r="AB34" s="54">
        <f t="shared" si="12"/>
        <v>13.480000000000004</v>
      </c>
      <c r="AC34" s="51">
        <f t="shared" si="2"/>
        <v>300</v>
      </c>
      <c r="AD34" s="52">
        <f t="shared" si="3"/>
        <v>548.5</v>
      </c>
      <c r="AE34" s="53">
        <f t="shared" si="20"/>
        <v>-248.5</v>
      </c>
      <c r="AF34" s="45">
        <f>+Z34</f>
        <v>50</v>
      </c>
      <c r="AG34" s="46">
        <v>281.42</v>
      </c>
      <c r="AH34" s="54">
        <f t="shared" si="13"/>
        <v>-231.42000000000002</v>
      </c>
      <c r="AI34" s="45">
        <f>+AF34</f>
        <v>50</v>
      </c>
      <c r="AJ34" s="46"/>
      <c r="AK34" s="54">
        <f t="shared" si="14"/>
        <v>50</v>
      </c>
      <c r="AL34" s="45">
        <f>+AI34</f>
        <v>50</v>
      </c>
      <c r="AM34" s="46"/>
      <c r="AN34" s="54">
        <f t="shared" si="15"/>
        <v>50</v>
      </c>
      <c r="AO34" s="45">
        <f>+AL34</f>
        <v>50</v>
      </c>
      <c r="AP34" s="46">
        <v>45.79</v>
      </c>
      <c r="AQ34" s="54">
        <f t="shared" si="16"/>
        <v>4.210000000000001</v>
      </c>
      <c r="AR34" s="45">
        <f>+AO34</f>
        <v>50</v>
      </c>
      <c r="AS34" s="46">
        <f>10+9</f>
        <v>19</v>
      </c>
      <c r="AT34" s="54">
        <f t="shared" si="17"/>
        <v>31</v>
      </c>
      <c r="AU34" s="45">
        <f>+AR34</f>
        <v>50</v>
      </c>
      <c r="AV34" s="46"/>
      <c r="AW34" s="54">
        <f t="shared" si="18"/>
        <v>50</v>
      </c>
      <c r="AX34" s="25">
        <f>+F34+K34+N34+T34+W34+Z34+AF34+AI34+AL34+AO34+AR34+AU34</f>
        <v>600</v>
      </c>
      <c r="AY34" s="62">
        <f t="shared" si="23"/>
        <v>0.00021848960275334562</v>
      </c>
      <c r="AZ34" s="45">
        <f t="shared" si="4"/>
        <v>600</v>
      </c>
      <c r="BA34" s="46">
        <f t="shared" si="5"/>
        <v>894.71</v>
      </c>
      <c r="BB34" s="54">
        <f t="shared" si="19"/>
        <v>-294.71000000000004</v>
      </c>
      <c r="BC34" s="87">
        <f t="shared" si="24"/>
        <v>0.0003108044215994187</v>
      </c>
      <c r="BD34" s="87">
        <f t="shared" si="25"/>
        <v>0.00020709850583881974</v>
      </c>
      <c r="BE34" s="5">
        <f t="shared" si="21"/>
        <v>-0.4911833333333334</v>
      </c>
      <c r="BF34" s="6">
        <f t="shared" si="22"/>
        <v>1.4911833333333333</v>
      </c>
      <c r="BG34" s="2"/>
      <c r="BH34" s="2"/>
    </row>
    <row r="35" spans="1:60" s="59" customFormat="1" ht="12.75">
      <c r="A35" s="1" t="s">
        <v>45</v>
      </c>
      <c r="B35" s="1"/>
      <c r="C35" s="1"/>
      <c r="D35" s="1"/>
      <c r="E35" s="1" t="s">
        <v>46</v>
      </c>
      <c r="F35" s="42">
        <f>+(15000)/11</f>
        <v>1363.6363636363637</v>
      </c>
      <c r="G35" s="43">
        <f>300+127.72+308+21.03+170</f>
        <v>926.75</v>
      </c>
      <c r="H35" s="44">
        <f t="shared" si="6"/>
        <v>436.88636363636374</v>
      </c>
      <c r="I35" s="43"/>
      <c r="J35" s="43"/>
      <c r="K35" s="45">
        <f>+F35</f>
        <v>1363.6363636363637</v>
      </c>
      <c r="L35" s="46">
        <f>300+127.72+308+170</f>
        <v>905.72</v>
      </c>
      <c r="M35" s="43">
        <f t="shared" si="7"/>
        <v>457.9163636363637</v>
      </c>
      <c r="N35" s="45">
        <f>+K35</f>
        <v>1363.6363636363637</v>
      </c>
      <c r="O35" s="46">
        <v>1033.44</v>
      </c>
      <c r="P35" s="44">
        <f t="shared" si="8"/>
        <v>330.1963636363637</v>
      </c>
      <c r="Q35" s="51">
        <f t="shared" si="0"/>
        <v>4090.909090909091</v>
      </c>
      <c r="R35" s="52">
        <f t="shared" si="1"/>
        <v>2865.91</v>
      </c>
      <c r="S35" s="53">
        <f t="shared" si="9"/>
        <v>1224.9990909090911</v>
      </c>
      <c r="T35" s="46">
        <f>+N35</f>
        <v>1363.6363636363637</v>
      </c>
      <c r="U35" s="46">
        <f>1360.98-165.82</f>
        <v>1195.16</v>
      </c>
      <c r="V35" s="54">
        <f t="shared" si="10"/>
        <v>168.47636363636366</v>
      </c>
      <c r="W35" s="45">
        <f>+T35</f>
        <v>1363.6363636363637</v>
      </c>
      <c r="X35" s="46">
        <v>968.83</v>
      </c>
      <c r="Y35" s="54">
        <f t="shared" si="11"/>
        <v>394.8063636363637</v>
      </c>
      <c r="Z35" s="45">
        <f>+W35</f>
        <v>1363.6363636363637</v>
      </c>
      <c r="AA35" s="46">
        <f>300+127.72+308+52+170</f>
        <v>957.72</v>
      </c>
      <c r="AB35" s="54">
        <f t="shared" si="12"/>
        <v>405.9163636363637</v>
      </c>
      <c r="AC35" s="51">
        <f t="shared" si="2"/>
        <v>8181.818181818183</v>
      </c>
      <c r="AD35" s="52">
        <f t="shared" si="3"/>
        <v>5987.620000000001</v>
      </c>
      <c r="AE35" s="53">
        <f t="shared" si="20"/>
        <v>2194.198181818182</v>
      </c>
      <c r="AF35" s="45">
        <f>+Z35</f>
        <v>1363.6363636363637</v>
      </c>
      <c r="AG35" s="46">
        <f>300+2583.16+1693+170</f>
        <v>4746.16</v>
      </c>
      <c r="AH35" s="54">
        <f t="shared" si="13"/>
        <v>-3382.523636363636</v>
      </c>
      <c r="AI35" s="45">
        <f>+AF35</f>
        <v>1363.6363636363637</v>
      </c>
      <c r="AJ35" s="46">
        <v>778</v>
      </c>
      <c r="AK35" s="54">
        <f t="shared" si="14"/>
        <v>585.6363636363637</v>
      </c>
      <c r="AL35" s="45">
        <f>+AI35</f>
        <v>1363.6363636363637</v>
      </c>
      <c r="AM35" s="46">
        <f>300+308+170+512.81+184.8</f>
        <v>1475.61</v>
      </c>
      <c r="AN35" s="54">
        <f t="shared" si="15"/>
        <v>-111.97363636363616</v>
      </c>
      <c r="AO35" s="45">
        <f>+AL35</f>
        <v>1363.6363636363637</v>
      </c>
      <c r="AP35" s="46">
        <f>300+255.44+308+60+235.09+79.5+170+263.99</f>
        <v>1672.02</v>
      </c>
      <c r="AQ35" s="54">
        <f t="shared" si="16"/>
        <v>-308.38363636363624</v>
      </c>
      <c r="AR35" s="45">
        <f>+AO35</f>
        <v>1363.6363636363637</v>
      </c>
      <c r="AS35" s="46">
        <f>381.2+1450+37.83+300</f>
        <v>2169.0299999999997</v>
      </c>
      <c r="AT35" s="54">
        <f t="shared" si="17"/>
        <v>-805.393636363636</v>
      </c>
      <c r="AU35" s="45">
        <f>+AR35</f>
        <v>1363.6363636363637</v>
      </c>
      <c r="AV35" s="46">
        <v>798</v>
      </c>
      <c r="AW35" s="54">
        <f t="shared" si="18"/>
        <v>565.6363636363637</v>
      </c>
      <c r="AX35" s="25">
        <f>+F35+K35+N35+T35+W35+Z35+AF35+AI35+AL35+AO35+AR35+AU35</f>
        <v>16363.636363636366</v>
      </c>
      <c r="AY35" s="62">
        <f t="shared" si="23"/>
        <v>0.005958807347818518</v>
      </c>
      <c r="AZ35" s="45">
        <f t="shared" si="4"/>
        <v>16363.636363636366</v>
      </c>
      <c r="BA35" s="46">
        <f t="shared" si="5"/>
        <v>17626.44</v>
      </c>
      <c r="BB35" s="54">
        <f t="shared" si="19"/>
        <v>-1262.803636363633</v>
      </c>
      <c r="BC35" s="87">
        <f t="shared" si="24"/>
        <v>0.006123073944693652</v>
      </c>
      <c r="BD35" s="87">
        <f t="shared" si="25"/>
        <v>0.005648141068331449</v>
      </c>
      <c r="BE35" s="5">
        <f t="shared" si="21"/>
        <v>-0.0771713333333331</v>
      </c>
      <c r="BF35" s="6">
        <f t="shared" si="22"/>
        <v>1.077171333333333</v>
      </c>
      <c r="BG35" s="2"/>
      <c r="BH35" s="2"/>
    </row>
    <row r="36" spans="1:60" s="59" customFormat="1" ht="12.75">
      <c r="A36" s="1" t="s">
        <v>93</v>
      </c>
      <c r="B36" s="1"/>
      <c r="C36" s="1"/>
      <c r="D36" s="1"/>
      <c r="E36" s="1" t="s">
        <v>47</v>
      </c>
      <c r="F36" s="42">
        <v>7.5</v>
      </c>
      <c r="G36" s="43"/>
      <c r="H36" s="44">
        <f t="shared" si="6"/>
        <v>7.5</v>
      </c>
      <c r="I36" s="43"/>
      <c r="J36" s="43"/>
      <c r="K36" s="45">
        <f>+F36</f>
        <v>7.5</v>
      </c>
      <c r="L36" s="46"/>
      <c r="M36" s="43">
        <f t="shared" si="7"/>
        <v>7.5</v>
      </c>
      <c r="N36" s="45">
        <f>+K36</f>
        <v>7.5</v>
      </c>
      <c r="O36" s="46"/>
      <c r="P36" s="44">
        <f t="shared" si="8"/>
        <v>7.5</v>
      </c>
      <c r="Q36" s="51">
        <f t="shared" si="0"/>
        <v>22.5</v>
      </c>
      <c r="R36" s="52">
        <f t="shared" si="1"/>
        <v>0</v>
      </c>
      <c r="S36" s="53">
        <f t="shared" si="9"/>
        <v>22.5</v>
      </c>
      <c r="T36" s="46">
        <f>+N36</f>
        <v>7.5</v>
      </c>
      <c r="U36" s="46"/>
      <c r="V36" s="54">
        <f t="shared" si="10"/>
        <v>7.5</v>
      </c>
      <c r="W36" s="45">
        <f>+T36</f>
        <v>7.5</v>
      </c>
      <c r="X36" s="46"/>
      <c r="Y36" s="54">
        <f t="shared" si="11"/>
        <v>7.5</v>
      </c>
      <c r="Z36" s="45">
        <f>+W36</f>
        <v>7.5</v>
      </c>
      <c r="AA36" s="46"/>
      <c r="AB36" s="54">
        <f t="shared" si="12"/>
        <v>7.5</v>
      </c>
      <c r="AC36" s="51">
        <f t="shared" si="2"/>
        <v>45</v>
      </c>
      <c r="AD36" s="52">
        <f t="shared" si="3"/>
        <v>0</v>
      </c>
      <c r="AE36" s="53">
        <f t="shared" si="20"/>
        <v>45</v>
      </c>
      <c r="AF36" s="45">
        <f>+Z36</f>
        <v>7.5</v>
      </c>
      <c r="AG36" s="46"/>
      <c r="AH36" s="54">
        <f t="shared" si="13"/>
        <v>7.5</v>
      </c>
      <c r="AI36" s="45">
        <f>+AF36</f>
        <v>7.5</v>
      </c>
      <c r="AJ36" s="46"/>
      <c r="AK36" s="54">
        <f t="shared" si="14"/>
        <v>7.5</v>
      </c>
      <c r="AL36" s="45">
        <f>+AI36</f>
        <v>7.5</v>
      </c>
      <c r="AM36" s="46"/>
      <c r="AN36" s="54">
        <f t="shared" si="15"/>
        <v>7.5</v>
      </c>
      <c r="AO36" s="45">
        <f>+AL36</f>
        <v>7.5</v>
      </c>
      <c r="AP36" s="46"/>
      <c r="AQ36" s="54">
        <f t="shared" si="16"/>
        <v>7.5</v>
      </c>
      <c r="AR36" s="45">
        <f>+AO36</f>
        <v>7.5</v>
      </c>
      <c r="AS36" s="46"/>
      <c r="AT36" s="54">
        <f t="shared" si="17"/>
        <v>7.5</v>
      </c>
      <c r="AU36" s="45">
        <f>+AR36</f>
        <v>7.5</v>
      </c>
      <c r="AV36" s="46"/>
      <c r="AW36" s="54">
        <f t="shared" si="18"/>
        <v>7.5</v>
      </c>
      <c r="AX36" s="25">
        <f>+F36+K36+N36+T36+W36+Z36+AF36+AI36+AL36+AO36+AR36+AU36</f>
        <v>90</v>
      </c>
      <c r="AY36" s="62"/>
      <c r="AZ36" s="45">
        <f t="shared" si="4"/>
        <v>90</v>
      </c>
      <c r="BA36" s="46">
        <f t="shared" si="5"/>
        <v>0</v>
      </c>
      <c r="BB36" s="54">
        <f t="shared" si="19"/>
        <v>90</v>
      </c>
      <c r="BC36" s="87"/>
      <c r="BD36" s="87"/>
      <c r="BE36" s="5">
        <f t="shared" si="21"/>
        <v>1</v>
      </c>
      <c r="BF36" s="6">
        <f t="shared" si="22"/>
        <v>0</v>
      </c>
      <c r="BG36" s="2"/>
      <c r="BH36" s="2"/>
    </row>
    <row r="37" spans="6:56" ht="12.75">
      <c r="F37" s="42"/>
      <c r="G37" s="43"/>
      <c r="H37" s="44">
        <f t="shared" si="6"/>
        <v>0</v>
      </c>
      <c r="I37" s="43"/>
      <c r="J37" s="43"/>
      <c r="K37" s="45"/>
      <c r="L37" s="46"/>
      <c r="M37" s="43">
        <f t="shared" si="7"/>
        <v>0</v>
      </c>
      <c r="N37" s="45"/>
      <c r="O37" s="46"/>
      <c r="P37" s="44">
        <f t="shared" si="8"/>
        <v>0</v>
      </c>
      <c r="Q37" s="51">
        <f t="shared" si="0"/>
        <v>0</v>
      </c>
      <c r="R37" s="52">
        <f t="shared" si="1"/>
        <v>0</v>
      </c>
      <c r="S37" s="53">
        <f t="shared" si="9"/>
        <v>0</v>
      </c>
      <c r="T37" s="46"/>
      <c r="U37" s="46"/>
      <c r="V37" s="54">
        <f t="shared" si="10"/>
        <v>0</v>
      </c>
      <c r="W37" s="45"/>
      <c r="X37" s="46"/>
      <c r="Y37" s="54">
        <f t="shared" si="11"/>
        <v>0</v>
      </c>
      <c r="Z37" s="45"/>
      <c r="AA37" s="46"/>
      <c r="AB37" s="54">
        <f t="shared" si="12"/>
        <v>0</v>
      </c>
      <c r="AC37" s="51">
        <f t="shared" si="2"/>
        <v>0</v>
      </c>
      <c r="AD37" s="52">
        <f t="shared" si="3"/>
        <v>0</v>
      </c>
      <c r="AE37" s="53">
        <f t="shared" si="20"/>
        <v>0</v>
      </c>
      <c r="AF37" s="45"/>
      <c r="AG37" s="46"/>
      <c r="AH37" s="54">
        <f t="shared" si="13"/>
        <v>0</v>
      </c>
      <c r="AI37" s="45"/>
      <c r="AJ37" s="46"/>
      <c r="AK37" s="54">
        <f t="shared" si="14"/>
        <v>0</v>
      </c>
      <c r="AL37" s="45"/>
      <c r="AM37" s="46"/>
      <c r="AN37" s="54">
        <f t="shared" si="15"/>
        <v>0</v>
      </c>
      <c r="AO37" s="45"/>
      <c r="AP37" s="46"/>
      <c r="AQ37" s="54">
        <f t="shared" si="16"/>
        <v>0</v>
      </c>
      <c r="AR37" s="45"/>
      <c r="AS37" s="46"/>
      <c r="AT37" s="54">
        <f t="shared" si="17"/>
        <v>0</v>
      </c>
      <c r="AU37" s="45"/>
      <c r="AV37" s="46"/>
      <c r="AW37" s="54">
        <f t="shared" si="18"/>
        <v>0</v>
      </c>
      <c r="AX37" s="25"/>
      <c r="AY37" s="62"/>
      <c r="AZ37" s="45">
        <f t="shared" si="4"/>
        <v>0</v>
      </c>
      <c r="BA37" s="46">
        <f t="shared" si="5"/>
        <v>0</v>
      </c>
      <c r="BB37" s="54">
        <f t="shared" si="19"/>
        <v>0</v>
      </c>
      <c r="BC37" s="87"/>
      <c r="BD37" s="87"/>
    </row>
    <row r="38" spans="6:56" ht="12.75">
      <c r="F38" s="42"/>
      <c r="G38" s="43"/>
      <c r="H38" s="44">
        <f t="shared" si="6"/>
        <v>0</v>
      </c>
      <c r="I38" s="43"/>
      <c r="J38" s="43"/>
      <c r="K38" s="45"/>
      <c r="L38" s="46"/>
      <c r="M38" s="43">
        <f t="shared" si="7"/>
        <v>0</v>
      </c>
      <c r="N38" s="45"/>
      <c r="O38" s="46"/>
      <c r="P38" s="44">
        <f t="shared" si="8"/>
        <v>0</v>
      </c>
      <c r="Q38" s="51">
        <f t="shared" si="0"/>
        <v>0</v>
      </c>
      <c r="R38" s="52">
        <f t="shared" si="1"/>
        <v>0</v>
      </c>
      <c r="S38" s="53">
        <f t="shared" si="9"/>
        <v>0</v>
      </c>
      <c r="T38" s="46"/>
      <c r="U38" s="46"/>
      <c r="V38" s="54">
        <f t="shared" si="10"/>
        <v>0</v>
      </c>
      <c r="W38" s="45"/>
      <c r="X38" s="46"/>
      <c r="Y38" s="54">
        <f t="shared" si="11"/>
        <v>0</v>
      </c>
      <c r="Z38" s="45"/>
      <c r="AA38" s="46"/>
      <c r="AB38" s="54">
        <f t="shared" si="12"/>
        <v>0</v>
      </c>
      <c r="AC38" s="51">
        <f t="shared" si="2"/>
        <v>0</v>
      </c>
      <c r="AD38" s="52">
        <f t="shared" si="3"/>
        <v>0</v>
      </c>
      <c r="AE38" s="53">
        <f t="shared" si="20"/>
        <v>0</v>
      </c>
      <c r="AF38" s="45"/>
      <c r="AG38" s="46"/>
      <c r="AH38" s="54">
        <f t="shared" si="13"/>
        <v>0</v>
      </c>
      <c r="AI38" s="45"/>
      <c r="AJ38" s="46"/>
      <c r="AK38" s="54">
        <f t="shared" si="14"/>
        <v>0</v>
      </c>
      <c r="AL38" s="45"/>
      <c r="AM38" s="46"/>
      <c r="AN38" s="54">
        <f t="shared" si="15"/>
        <v>0</v>
      </c>
      <c r="AO38" s="45"/>
      <c r="AP38" s="46"/>
      <c r="AQ38" s="54">
        <f t="shared" si="16"/>
        <v>0</v>
      </c>
      <c r="AR38" s="45"/>
      <c r="AS38" s="46"/>
      <c r="AT38" s="54">
        <f t="shared" si="17"/>
        <v>0</v>
      </c>
      <c r="AU38" s="45"/>
      <c r="AV38" s="46"/>
      <c r="AW38" s="54">
        <f t="shared" si="18"/>
        <v>0</v>
      </c>
      <c r="AX38" s="25"/>
      <c r="AY38" s="62"/>
      <c r="AZ38" s="45">
        <f t="shared" si="4"/>
        <v>0</v>
      </c>
      <c r="BA38" s="46">
        <f t="shared" si="5"/>
        <v>0</v>
      </c>
      <c r="BB38" s="54">
        <f t="shared" si="19"/>
        <v>0</v>
      </c>
      <c r="BC38" s="87"/>
      <c r="BD38" s="87"/>
    </row>
    <row r="39" spans="1:60" s="59" customFormat="1" ht="12.75">
      <c r="A39" s="1" t="s">
        <v>48</v>
      </c>
      <c r="B39" s="1"/>
      <c r="C39" s="1"/>
      <c r="D39" s="1"/>
      <c r="E39" s="1" t="s">
        <v>49</v>
      </c>
      <c r="F39" s="42">
        <v>454.54545454545456</v>
      </c>
      <c r="G39" s="43">
        <v>454.55</v>
      </c>
      <c r="H39" s="44">
        <f t="shared" si="6"/>
        <v>-0.004545454545450411</v>
      </c>
      <c r="I39" s="43"/>
      <c r="J39" s="43"/>
      <c r="K39" s="45">
        <f>+F39</f>
        <v>454.54545454545456</v>
      </c>
      <c r="L39" s="46">
        <v>523.42</v>
      </c>
      <c r="M39" s="43">
        <f t="shared" si="7"/>
        <v>-68.8745454545454</v>
      </c>
      <c r="N39" s="45">
        <f>+K39</f>
        <v>454.54545454545456</v>
      </c>
      <c r="O39" s="46"/>
      <c r="P39" s="44">
        <f t="shared" si="8"/>
        <v>454.54545454545456</v>
      </c>
      <c r="Q39" s="51">
        <f t="shared" si="0"/>
        <v>1363.6363636363637</v>
      </c>
      <c r="R39" s="52">
        <f t="shared" si="1"/>
        <v>977.97</v>
      </c>
      <c r="S39" s="53">
        <f t="shared" si="9"/>
        <v>385.6663636363637</v>
      </c>
      <c r="T39" s="46">
        <f>+N39</f>
        <v>454.54545454545456</v>
      </c>
      <c r="U39" s="46"/>
      <c r="V39" s="54">
        <f t="shared" si="10"/>
        <v>454.54545454545456</v>
      </c>
      <c r="W39" s="45">
        <f>+T39</f>
        <v>454.54545454545456</v>
      </c>
      <c r="X39" s="46">
        <v>4436.72</v>
      </c>
      <c r="Y39" s="54">
        <f t="shared" si="11"/>
        <v>-3982.1745454545458</v>
      </c>
      <c r="Z39" s="45">
        <f>+W39</f>
        <v>454.54545454545456</v>
      </c>
      <c r="AA39" s="46">
        <v>1412</v>
      </c>
      <c r="AB39" s="54">
        <f t="shared" si="12"/>
        <v>-957.4545454545455</v>
      </c>
      <c r="AC39" s="51">
        <f t="shared" si="2"/>
        <v>2727.2727272727275</v>
      </c>
      <c r="AD39" s="52">
        <f t="shared" si="3"/>
        <v>6826.6900000000005</v>
      </c>
      <c r="AE39" s="53">
        <f t="shared" si="20"/>
        <v>-4099.417272727273</v>
      </c>
      <c r="AF39" s="45">
        <f>+Z39</f>
        <v>454.54545454545456</v>
      </c>
      <c r="AG39" s="46"/>
      <c r="AH39" s="54">
        <f t="shared" si="13"/>
        <v>454.54545454545456</v>
      </c>
      <c r="AI39" s="45">
        <f>+AF39</f>
        <v>454.54545454545456</v>
      </c>
      <c r="AJ39" s="46">
        <v>19.93</v>
      </c>
      <c r="AK39" s="54">
        <f t="shared" si="14"/>
        <v>434.61545454545455</v>
      </c>
      <c r="AL39" s="45">
        <f>+AI39</f>
        <v>454.54545454545456</v>
      </c>
      <c r="AM39" s="46"/>
      <c r="AN39" s="54">
        <f t="shared" si="15"/>
        <v>454.54545454545456</v>
      </c>
      <c r="AO39" s="45">
        <f>+AL39</f>
        <v>454.54545454545456</v>
      </c>
      <c r="AP39" s="46">
        <v>33.35</v>
      </c>
      <c r="AQ39" s="54">
        <f t="shared" si="16"/>
        <v>421.19545454545454</v>
      </c>
      <c r="AR39" s="45">
        <f>+AO39</f>
        <v>454.54545454545456</v>
      </c>
      <c r="AS39" s="46"/>
      <c r="AT39" s="54">
        <f t="shared" si="17"/>
        <v>454.54545454545456</v>
      </c>
      <c r="AU39" s="45">
        <f>+AR39</f>
        <v>454.54545454545456</v>
      </c>
      <c r="AV39" s="46"/>
      <c r="AW39" s="54">
        <f t="shared" si="18"/>
        <v>454.54545454545456</v>
      </c>
      <c r="AX39" s="25">
        <f>+F39+K39+N39+T39+W39+Z39+AF39+AI39+AL39+AO39+AR39+AU39</f>
        <v>5454.545454545456</v>
      </c>
      <c r="AY39" s="62"/>
      <c r="AZ39" s="45">
        <f t="shared" si="4"/>
        <v>5454.545454545456</v>
      </c>
      <c r="BA39" s="46">
        <f t="shared" si="5"/>
        <v>6879.970000000001</v>
      </c>
      <c r="BB39" s="54">
        <f t="shared" si="19"/>
        <v>-1425.4245454545453</v>
      </c>
      <c r="BC39" s="87">
        <f t="shared" si="24"/>
        <v>0.002389964453813362</v>
      </c>
      <c r="BD39" s="87">
        <f t="shared" si="25"/>
        <v>0.0018827136894438163</v>
      </c>
      <c r="BE39" s="5">
        <f t="shared" si="21"/>
        <v>-0.26132783333333326</v>
      </c>
      <c r="BF39" s="6">
        <f t="shared" si="22"/>
        <v>1.2613278333333333</v>
      </c>
      <c r="BG39" s="2"/>
      <c r="BH39" s="2"/>
    </row>
    <row r="40" spans="6:56" ht="12.75">
      <c r="F40" s="42"/>
      <c r="G40" s="43"/>
      <c r="H40" s="44">
        <f t="shared" si="6"/>
        <v>0</v>
      </c>
      <c r="I40" s="43"/>
      <c r="J40" s="43"/>
      <c r="K40" s="45"/>
      <c r="L40" s="46"/>
      <c r="M40" s="43">
        <f t="shared" si="7"/>
        <v>0</v>
      </c>
      <c r="N40" s="45"/>
      <c r="O40" s="46"/>
      <c r="P40" s="44">
        <f t="shared" si="8"/>
        <v>0</v>
      </c>
      <c r="Q40" s="51">
        <f aca="true" t="shared" si="27" ref="Q40:Q71">+F40+K40+N40</f>
        <v>0</v>
      </c>
      <c r="R40" s="52">
        <f aca="true" t="shared" si="28" ref="R40:R71">+G40+L40+O40</f>
        <v>0</v>
      </c>
      <c r="S40" s="53">
        <f t="shared" si="9"/>
        <v>0</v>
      </c>
      <c r="T40" s="46"/>
      <c r="U40" s="46"/>
      <c r="V40" s="54">
        <f t="shared" si="10"/>
        <v>0</v>
      </c>
      <c r="W40" s="45"/>
      <c r="X40" s="46"/>
      <c r="Y40" s="54">
        <f t="shared" si="11"/>
        <v>0</v>
      </c>
      <c r="Z40" s="45"/>
      <c r="AA40" s="46"/>
      <c r="AB40" s="54">
        <f t="shared" si="12"/>
        <v>0</v>
      </c>
      <c r="AC40" s="51">
        <f aca="true" t="shared" si="29" ref="AC40:AC71">+Z40+W40+T40+F40+K40+N40</f>
        <v>0</v>
      </c>
      <c r="AD40" s="52">
        <f aca="true" t="shared" si="30" ref="AD40:AD71">+AA40+X40+U40+G40+L40+O40</f>
        <v>0</v>
      </c>
      <c r="AE40" s="53">
        <f t="shared" si="20"/>
        <v>0</v>
      </c>
      <c r="AF40" s="45"/>
      <c r="AG40" s="46"/>
      <c r="AH40" s="54">
        <f t="shared" si="13"/>
        <v>0</v>
      </c>
      <c r="AI40" s="45"/>
      <c r="AJ40" s="46"/>
      <c r="AK40" s="54">
        <f t="shared" si="14"/>
        <v>0</v>
      </c>
      <c r="AL40" s="45"/>
      <c r="AM40" s="46"/>
      <c r="AN40" s="54">
        <f t="shared" si="15"/>
        <v>0</v>
      </c>
      <c r="AO40" s="45"/>
      <c r="AP40" s="46"/>
      <c r="AQ40" s="54">
        <f t="shared" si="16"/>
        <v>0</v>
      </c>
      <c r="AR40" s="45"/>
      <c r="AS40" s="46"/>
      <c r="AT40" s="54">
        <f t="shared" si="17"/>
        <v>0</v>
      </c>
      <c r="AU40" s="45"/>
      <c r="AV40" s="46"/>
      <c r="AW40" s="54">
        <f t="shared" si="18"/>
        <v>0</v>
      </c>
      <c r="AX40" s="25"/>
      <c r="AY40" s="62"/>
      <c r="AZ40" s="45">
        <f aca="true" t="shared" si="31" ref="AZ40:AZ71">+F40+K40+N40+T40+W40+Z40+AF40+AI40+AL40+AO40+AR40+AU40</f>
        <v>0</v>
      </c>
      <c r="BA40" s="46">
        <f aca="true" t="shared" si="32" ref="BA40:BA71">+G40+L40+O40+U40+X40+AA40+AG40+AJ40+AM40+AP40+AS40+AV40</f>
        <v>0</v>
      </c>
      <c r="BB40" s="54">
        <f t="shared" si="19"/>
        <v>0</v>
      </c>
      <c r="BC40" s="87"/>
      <c r="BD40" s="87"/>
    </row>
    <row r="41" spans="1:60" s="59" customFormat="1" ht="12.75">
      <c r="A41" s="1" t="s">
        <v>50</v>
      </c>
      <c r="B41" s="1"/>
      <c r="C41" s="1"/>
      <c r="D41" s="1"/>
      <c r="E41" s="1" t="s">
        <v>51</v>
      </c>
      <c r="F41" s="42">
        <v>165</v>
      </c>
      <c r="G41" s="43">
        <f>115.69+0.3</f>
        <v>115.99</v>
      </c>
      <c r="H41" s="44">
        <f t="shared" si="6"/>
        <v>49.010000000000005</v>
      </c>
      <c r="I41" s="43"/>
      <c r="J41" s="43"/>
      <c r="K41" s="45">
        <f>+F41</f>
        <v>165</v>
      </c>
      <c r="L41" s="46">
        <v>-46.6</v>
      </c>
      <c r="M41" s="43">
        <f t="shared" si="7"/>
        <v>211.6</v>
      </c>
      <c r="N41" s="45">
        <f>+K41</f>
        <v>165</v>
      </c>
      <c r="O41" s="46">
        <v>41.96</v>
      </c>
      <c r="P41" s="44">
        <f t="shared" si="8"/>
        <v>123.03999999999999</v>
      </c>
      <c r="Q41" s="51">
        <f t="shared" si="27"/>
        <v>495</v>
      </c>
      <c r="R41" s="52">
        <f t="shared" si="28"/>
        <v>111.35</v>
      </c>
      <c r="S41" s="53">
        <f t="shared" si="9"/>
        <v>383.65</v>
      </c>
      <c r="T41" s="46">
        <f>+N41</f>
        <v>165</v>
      </c>
      <c r="U41" s="46">
        <v>272.57</v>
      </c>
      <c r="V41" s="54">
        <f t="shared" si="10"/>
        <v>-107.57</v>
      </c>
      <c r="W41" s="45">
        <f>+T41</f>
        <v>165</v>
      </c>
      <c r="X41" s="46">
        <v>204.45</v>
      </c>
      <c r="Y41" s="54">
        <f t="shared" si="11"/>
        <v>-39.44999999999999</v>
      </c>
      <c r="Z41" s="45">
        <f>+W41</f>
        <v>165</v>
      </c>
      <c r="AA41" s="46">
        <v>212.86</v>
      </c>
      <c r="AB41" s="54">
        <f t="shared" si="12"/>
        <v>-47.860000000000014</v>
      </c>
      <c r="AC41" s="51">
        <f t="shared" si="29"/>
        <v>990</v>
      </c>
      <c r="AD41" s="52">
        <f t="shared" si="30"/>
        <v>801.23</v>
      </c>
      <c r="AE41" s="53">
        <f t="shared" si="20"/>
        <v>188.76999999999998</v>
      </c>
      <c r="AF41" s="45">
        <f>+Z41</f>
        <v>165</v>
      </c>
      <c r="AG41" s="46">
        <v>360.69</v>
      </c>
      <c r="AH41" s="54">
        <f t="shared" si="13"/>
        <v>-195.69</v>
      </c>
      <c r="AI41" s="45">
        <f>+AF41</f>
        <v>165</v>
      </c>
      <c r="AJ41" s="46">
        <v>288.77</v>
      </c>
      <c r="AK41" s="54">
        <f t="shared" si="14"/>
        <v>-123.76999999999998</v>
      </c>
      <c r="AL41" s="45">
        <f>+AI41</f>
        <v>165</v>
      </c>
      <c r="AM41" s="46">
        <f>42.32+0.64+52.04+132.58-9.65</f>
        <v>217.93</v>
      </c>
      <c r="AN41" s="54">
        <f t="shared" si="15"/>
        <v>-52.93000000000001</v>
      </c>
      <c r="AO41" s="45">
        <f>+AL41</f>
        <v>165</v>
      </c>
      <c r="AP41" s="46">
        <f>307.42-39.74</f>
        <v>267.68</v>
      </c>
      <c r="AQ41" s="54">
        <f t="shared" si="16"/>
        <v>-102.68</v>
      </c>
      <c r="AR41" s="45">
        <f>+AO41</f>
        <v>165</v>
      </c>
      <c r="AS41" s="46">
        <v>76.23</v>
      </c>
      <c r="AT41" s="54">
        <f t="shared" si="17"/>
        <v>88.77</v>
      </c>
      <c r="AU41" s="45">
        <f>+AR41</f>
        <v>165</v>
      </c>
      <c r="AV41" s="46">
        <v>26.16</v>
      </c>
      <c r="AW41" s="54">
        <f t="shared" si="18"/>
        <v>138.84</v>
      </c>
      <c r="AX41" s="25">
        <f>+F41+K41+N41+T41+W41+Z41+AF41+AI41+AL41+AO41+AR41+AU41</f>
        <v>1980</v>
      </c>
      <c r="AY41" s="62"/>
      <c r="AZ41" s="45">
        <f t="shared" si="31"/>
        <v>1980</v>
      </c>
      <c r="BA41" s="46">
        <f t="shared" si="32"/>
        <v>2038.69</v>
      </c>
      <c r="BB41" s="54">
        <f t="shared" si="19"/>
        <v>-58.690000000000055</v>
      </c>
      <c r="BC41" s="87">
        <f t="shared" si="24"/>
        <v>0.0007082002730164176</v>
      </c>
      <c r="BD41" s="87">
        <f t="shared" si="25"/>
        <v>0.0006834250692681052</v>
      </c>
      <c r="BE41" s="5">
        <f t="shared" si="21"/>
        <v>-0.02964141414141417</v>
      </c>
      <c r="BF41" s="6">
        <f t="shared" si="22"/>
        <v>1.029641414141414</v>
      </c>
      <c r="BG41" s="2"/>
      <c r="BH41" s="2"/>
    </row>
    <row r="42" spans="6:56" ht="12.75">
      <c r="F42" s="42"/>
      <c r="G42" s="43"/>
      <c r="H42" s="44">
        <f t="shared" si="6"/>
        <v>0</v>
      </c>
      <c r="I42" s="43"/>
      <c r="J42" s="43"/>
      <c r="K42" s="45"/>
      <c r="L42" s="46"/>
      <c r="M42" s="43">
        <f t="shared" si="7"/>
        <v>0</v>
      </c>
      <c r="N42" s="45"/>
      <c r="O42" s="46"/>
      <c r="P42" s="44">
        <f t="shared" si="8"/>
        <v>0</v>
      </c>
      <c r="Q42" s="51">
        <f t="shared" si="27"/>
        <v>0</v>
      </c>
      <c r="R42" s="52">
        <f t="shared" si="28"/>
        <v>0</v>
      </c>
      <c r="S42" s="53">
        <f t="shared" si="9"/>
        <v>0</v>
      </c>
      <c r="T42" s="46"/>
      <c r="U42" s="46"/>
      <c r="V42" s="54">
        <f t="shared" si="10"/>
        <v>0</v>
      </c>
      <c r="W42" s="45"/>
      <c r="X42" s="46"/>
      <c r="Y42" s="54">
        <f t="shared" si="11"/>
        <v>0</v>
      </c>
      <c r="Z42" s="45"/>
      <c r="AA42" s="46"/>
      <c r="AB42" s="54">
        <f t="shared" si="12"/>
        <v>0</v>
      </c>
      <c r="AC42" s="51">
        <f t="shared" si="29"/>
        <v>0</v>
      </c>
      <c r="AD42" s="52">
        <f t="shared" si="30"/>
        <v>0</v>
      </c>
      <c r="AE42" s="53">
        <f t="shared" si="20"/>
        <v>0</v>
      </c>
      <c r="AF42" s="45"/>
      <c r="AG42" s="46"/>
      <c r="AH42" s="54">
        <f t="shared" si="13"/>
        <v>0</v>
      </c>
      <c r="AI42" s="45"/>
      <c r="AJ42" s="46"/>
      <c r="AK42" s="54">
        <f t="shared" si="14"/>
        <v>0</v>
      </c>
      <c r="AL42" s="45"/>
      <c r="AM42" s="46"/>
      <c r="AN42" s="54">
        <f t="shared" si="15"/>
        <v>0</v>
      </c>
      <c r="AO42" s="45"/>
      <c r="AP42" s="46"/>
      <c r="AQ42" s="54">
        <f t="shared" si="16"/>
        <v>0</v>
      </c>
      <c r="AR42" s="45"/>
      <c r="AS42" s="46"/>
      <c r="AT42" s="54">
        <f t="shared" si="17"/>
        <v>0</v>
      </c>
      <c r="AU42" s="45"/>
      <c r="AV42" s="46"/>
      <c r="AW42" s="54">
        <f t="shared" si="18"/>
        <v>0</v>
      </c>
      <c r="AX42" s="25"/>
      <c r="AY42" s="62"/>
      <c r="AZ42" s="45">
        <f t="shared" si="31"/>
        <v>0</v>
      </c>
      <c r="BA42" s="46">
        <f t="shared" si="32"/>
        <v>0</v>
      </c>
      <c r="BB42" s="54">
        <f t="shared" si="19"/>
        <v>0</v>
      </c>
      <c r="BC42" s="87"/>
      <c r="BD42" s="87"/>
    </row>
    <row r="43" spans="1:60" s="59" customFormat="1" ht="12.75">
      <c r="A43" s="1" t="s">
        <v>52</v>
      </c>
      <c r="B43" s="1"/>
      <c r="C43" s="1"/>
      <c r="D43" s="1"/>
      <c r="E43" s="1" t="s">
        <v>53</v>
      </c>
      <c r="F43" s="42">
        <v>125</v>
      </c>
      <c r="G43" s="43"/>
      <c r="H43" s="44">
        <f t="shared" si="6"/>
        <v>125</v>
      </c>
      <c r="I43" s="43"/>
      <c r="J43" s="43"/>
      <c r="K43" s="45">
        <f>+F43</f>
        <v>125</v>
      </c>
      <c r="L43" s="46"/>
      <c r="M43" s="43">
        <f t="shared" si="7"/>
        <v>125</v>
      </c>
      <c r="N43" s="45">
        <f>+K43</f>
        <v>125</v>
      </c>
      <c r="O43" s="46"/>
      <c r="P43" s="44">
        <f t="shared" si="8"/>
        <v>125</v>
      </c>
      <c r="Q43" s="51">
        <f t="shared" si="27"/>
        <v>375</v>
      </c>
      <c r="R43" s="52">
        <f t="shared" si="28"/>
        <v>0</v>
      </c>
      <c r="S43" s="53">
        <f t="shared" si="9"/>
        <v>375</v>
      </c>
      <c r="T43" s="46">
        <f>+N43</f>
        <v>125</v>
      </c>
      <c r="U43" s="46"/>
      <c r="V43" s="54">
        <f t="shared" si="10"/>
        <v>125</v>
      </c>
      <c r="W43" s="45">
        <f>+T43</f>
        <v>125</v>
      </c>
      <c r="X43" s="46"/>
      <c r="Y43" s="54">
        <f t="shared" si="11"/>
        <v>125</v>
      </c>
      <c r="Z43" s="45">
        <f>+W43</f>
        <v>125</v>
      </c>
      <c r="AA43" s="46"/>
      <c r="AB43" s="54">
        <f t="shared" si="12"/>
        <v>125</v>
      </c>
      <c r="AC43" s="51">
        <f t="shared" si="29"/>
        <v>750</v>
      </c>
      <c r="AD43" s="52">
        <f t="shared" si="30"/>
        <v>0</v>
      </c>
      <c r="AE43" s="53">
        <f t="shared" si="20"/>
        <v>750</v>
      </c>
      <c r="AF43" s="45">
        <f>+Z43</f>
        <v>125</v>
      </c>
      <c r="AG43" s="46"/>
      <c r="AH43" s="54">
        <f t="shared" si="13"/>
        <v>125</v>
      </c>
      <c r="AI43" s="45">
        <f>+AF43</f>
        <v>125</v>
      </c>
      <c r="AJ43" s="46"/>
      <c r="AK43" s="54">
        <f t="shared" si="14"/>
        <v>125</v>
      </c>
      <c r="AL43" s="45">
        <f>+AI43</f>
        <v>125</v>
      </c>
      <c r="AM43" s="46"/>
      <c r="AN43" s="54">
        <f t="shared" si="15"/>
        <v>125</v>
      </c>
      <c r="AO43" s="45">
        <f>+AL43</f>
        <v>125</v>
      </c>
      <c r="AP43" s="46"/>
      <c r="AQ43" s="54">
        <f t="shared" si="16"/>
        <v>125</v>
      </c>
      <c r="AR43" s="45">
        <f>+AO43</f>
        <v>125</v>
      </c>
      <c r="AS43" s="46">
        <v>1000</v>
      </c>
      <c r="AT43" s="54">
        <f t="shared" si="17"/>
        <v>-875</v>
      </c>
      <c r="AU43" s="45">
        <f>+AR43</f>
        <v>125</v>
      </c>
      <c r="AV43" s="46">
        <v>155.17</v>
      </c>
      <c r="AW43" s="54">
        <f t="shared" si="18"/>
        <v>-30.169999999999987</v>
      </c>
      <c r="AX43" s="25">
        <f>+F43+K43+N43+T43+W43+Z43+AF43+AI43+AL43+AO43+AR43+AU43</f>
        <v>1500</v>
      </c>
      <c r="AY43" s="62"/>
      <c r="AZ43" s="45">
        <f t="shared" si="31"/>
        <v>1500</v>
      </c>
      <c r="BA43" s="46">
        <f t="shared" si="32"/>
        <v>1155.17</v>
      </c>
      <c r="BB43" s="54">
        <f t="shared" si="19"/>
        <v>344.8299999999999</v>
      </c>
      <c r="BC43" s="87">
        <f t="shared" si="24"/>
        <v>0.00040128303438991464</v>
      </c>
      <c r="BD43" s="87">
        <f t="shared" si="25"/>
        <v>0.0005177462645970494</v>
      </c>
      <c r="BE43" s="5">
        <f t="shared" si="21"/>
        <v>0.22988666666666663</v>
      </c>
      <c r="BF43" s="6">
        <f t="shared" si="22"/>
        <v>0.7701133333333334</v>
      </c>
      <c r="BG43" s="2"/>
      <c r="BH43" s="2"/>
    </row>
    <row r="44" spans="6:56" ht="12.75">
      <c r="F44" s="42"/>
      <c r="G44" s="43"/>
      <c r="H44" s="44">
        <f t="shared" si="6"/>
        <v>0</v>
      </c>
      <c r="I44" s="43"/>
      <c r="J44" s="43"/>
      <c r="K44" s="45"/>
      <c r="L44" s="46"/>
      <c r="M44" s="43">
        <f t="shared" si="7"/>
        <v>0</v>
      </c>
      <c r="N44" s="45"/>
      <c r="O44" s="46"/>
      <c r="P44" s="44">
        <f t="shared" si="8"/>
        <v>0</v>
      </c>
      <c r="Q44" s="51">
        <f t="shared" si="27"/>
        <v>0</v>
      </c>
      <c r="R44" s="52">
        <f t="shared" si="28"/>
        <v>0</v>
      </c>
      <c r="S44" s="53">
        <f t="shared" si="9"/>
        <v>0</v>
      </c>
      <c r="T44" s="46"/>
      <c r="U44" s="46"/>
      <c r="V44" s="54">
        <f t="shared" si="10"/>
        <v>0</v>
      </c>
      <c r="W44" s="45"/>
      <c r="X44" s="46"/>
      <c r="Y44" s="54">
        <f t="shared" si="11"/>
        <v>0</v>
      </c>
      <c r="Z44" s="45"/>
      <c r="AA44" s="46"/>
      <c r="AB44" s="54">
        <f t="shared" si="12"/>
        <v>0</v>
      </c>
      <c r="AC44" s="51">
        <f t="shared" si="29"/>
        <v>0</v>
      </c>
      <c r="AD44" s="52">
        <f t="shared" si="30"/>
        <v>0</v>
      </c>
      <c r="AE44" s="53">
        <f t="shared" si="20"/>
        <v>0</v>
      </c>
      <c r="AF44" s="45"/>
      <c r="AG44" s="46"/>
      <c r="AH44" s="54">
        <f t="shared" si="13"/>
        <v>0</v>
      </c>
      <c r="AI44" s="45"/>
      <c r="AJ44" s="46"/>
      <c r="AK44" s="54">
        <f t="shared" si="14"/>
        <v>0</v>
      </c>
      <c r="AL44" s="45"/>
      <c r="AM44" s="46"/>
      <c r="AN44" s="54">
        <f t="shared" si="15"/>
        <v>0</v>
      </c>
      <c r="AO44" s="45"/>
      <c r="AP44" s="46"/>
      <c r="AQ44" s="54">
        <f t="shared" si="16"/>
        <v>0</v>
      </c>
      <c r="AR44" s="45"/>
      <c r="AS44" s="46"/>
      <c r="AT44" s="54">
        <f t="shared" si="17"/>
        <v>0</v>
      </c>
      <c r="AU44" s="45"/>
      <c r="AV44" s="46"/>
      <c r="AW44" s="54">
        <f t="shared" si="18"/>
        <v>0</v>
      </c>
      <c r="AX44" s="25"/>
      <c r="AY44" s="62"/>
      <c r="AZ44" s="45">
        <f t="shared" si="31"/>
        <v>0</v>
      </c>
      <c r="BA44" s="46">
        <f t="shared" si="32"/>
        <v>0</v>
      </c>
      <c r="BB44" s="54">
        <f t="shared" si="19"/>
        <v>0</v>
      </c>
      <c r="BC44" s="87"/>
      <c r="BD44" s="87"/>
    </row>
    <row r="45" spans="1:60" s="59" customFormat="1" ht="12.75">
      <c r="A45" s="1" t="s">
        <v>54</v>
      </c>
      <c r="B45" s="1"/>
      <c r="C45" s="1"/>
      <c r="D45" s="1"/>
      <c r="E45" s="1" t="s">
        <v>55</v>
      </c>
      <c r="F45" s="42">
        <v>150</v>
      </c>
      <c r="G45" s="43">
        <f>105.91+17.73</f>
        <v>123.64</v>
      </c>
      <c r="H45" s="44">
        <f t="shared" si="6"/>
        <v>26.36</v>
      </c>
      <c r="I45" s="43"/>
      <c r="J45" s="43"/>
      <c r="K45" s="45">
        <f>+F45</f>
        <v>150</v>
      </c>
      <c r="L45" s="46">
        <f>113.57+17.88</f>
        <v>131.45</v>
      </c>
      <c r="M45" s="43">
        <f t="shared" si="7"/>
        <v>18.55000000000001</v>
      </c>
      <c r="N45" s="45">
        <f>+K45</f>
        <v>150</v>
      </c>
      <c r="O45" s="46">
        <f>109.12+17.9</f>
        <v>127.02000000000001</v>
      </c>
      <c r="P45" s="44">
        <f t="shared" si="8"/>
        <v>22.97999999999999</v>
      </c>
      <c r="Q45" s="51">
        <f t="shared" si="27"/>
        <v>450</v>
      </c>
      <c r="R45" s="52">
        <f t="shared" si="28"/>
        <v>382.11</v>
      </c>
      <c r="S45" s="53">
        <f t="shared" si="9"/>
        <v>67.88999999999999</v>
      </c>
      <c r="T45" s="46">
        <f>+N45</f>
        <v>150</v>
      </c>
      <c r="U45" s="46">
        <f>112.74+17.65</f>
        <v>130.39</v>
      </c>
      <c r="V45" s="54">
        <f t="shared" si="10"/>
        <v>19.610000000000014</v>
      </c>
      <c r="W45" s="45">
        <f>+T45</f>
        <v>150</v>
      </c>
      <c r="X45" s="46">
        <v>166.8</v>
      </c>
      <c r="Y45" s="54">
        <f t="shared" si="11"/>
        <v>-16.80000000000001</v>
      </c>
      <c r="Z45" s="45">
        <f>+W45</f>
        <v>150</v>
      </c>
      <c r="AA45" s="46">
        <f>253.84+79.14</f>
        <v>332.98</v>
      </c>
      <c r="AB45" s="54">
        <f t="shared" si="12"/>
        <v>-182.98000000000002</v>
      </c>
      <c r="AC45" s="51">
        <f t="shared" si="29"/>
        <v>900</v>
      </c>
      <c r="AD45" s="52">
        <f t="shared" si="30"/>
        <v>1012.28</v>
      </c>
      <c r="AE45" s="53">
        <f t="shared" si="20"/>
        <v>-112.27999999999997</v>
      </c>
      <c r="AF45" s="45">
        <f>+Z45</f>
        <v>150</v>
      </c>
      <c r="AG45" s="46">
        <v>184.29</v>
      </c>
      <c r="AH45" s="54">
        <f t="shared" si="13"/>
        <v>-34.28999999999999</v>
      </c>
      <c r="AI45" s="45">
        <f>+AF45</f>
        <v>150</v>
      </c>
      <c r="AJ45" s="46">
        <f>1642.01-1323.22</f>
        <v>318.78999999999996</v>
      </c>
      <c r="AK45" s="54">
        <f t="shared" si="14"/>
        <v>-168.78999999999996</v>
      </c>
      <c r="AL45" s="45">
        <f>+AI45</f>
        <v>150</v>
      </c>
      <c r="AM45" s="46">
        <v>181.07</v>
      </c>
      <c r="AN45" s="54">
        <f t="shared" si="15"/>
        <v>-31.069999999999993</v>
      </c>
      <c r="AO45" s="45">
        <f>+AL45</f>
        <v>150</v>
      </c>
      <c r="AP45" s="46">
        <v>176.79</v>
      </c>
      <c r="AQ45" s="54">
        <f t="shared" si="16"/>
        <v>-26.789999999999992</v>
      </c>
      <c r="AR45" s="45">
        <f>+AO45</f>
        <v>150</v>
      </c>
      <c r="AS45" s="46">
        <v>150.56</v>
      </c>
      <c r="AT45" s="54">
        <f t="shared" si="17"/>
        <v>-0.5600000000000023</v>
      </c>
      <c r="AU45" s="45">
        <f>+AR45</f>
        <v>150</v>
      </c>
      <c r="AV45" s="46">
        <f>112.02+35.35</f>
        <v>147.37</v>
      </c>
      <c r="AW45" s="54">
        <f t="shared" si="18"/>
        <v>2.6299999999999955</v>
      </c>
      <c r="AX45" s="25">
        <f aca="true" t="shared" si="33" ref="AX45:AX51">+F45+K45+N45+T45+W45+Z45+AF45+AI45+AL45+AO45+AR45+AU45</f>
        <v>1800</v>
      </c>
      <c r="AY45" s="62">
        <f>+AX45/$AX$10</f>
        <v>0.0006554688082600369</v>
      </c>
      <c r="AZ45" s="45">
        <f t="shared" si="31"/>
        <v>1800</v>
      </c>
      <c r="BA45" s="46">
        <f t="shared" si="32"/>
        <v>2171.1499999999996</v>
      </c>
      <c r="BB45" s="54">
        <f t="shared" si="19"/>
        <v>-371.14999999999964</v>
      </c>
      <c r="BC45" s="87">
        <f t="shared" si="24"/>
        <v>0.000754214236965696</v>
      </c>
      <c r="BD45" s="87">
        <f t="shared" si="25"/>
        <v>0.0006212955175164593</v>
      </c>
      <c r="BE45" s="5">
        <f t="shared" si="21"/>
        <v>-0.20619444444444424</v>
      </c>
      <c r="BF45" s="6">
        <f t="shared" si="22"/>
        <v>1.2061944444444443</v>
      </c>
      <c r="BG45" s="2"/>
      <c r="BH45" s="2"/>
    </row>
    <row r="46" spans="1:60" s="59" customFormat="1" ht="12.75">
      <c r="A46" s="1"/>
      <c r="B46" s="1"/>
      <c r="C46" s="1"/>
      <c r="D46" s="1"/>
      <c r="E46" s="1"/>
      <c r="F46" s="42"/>
      <c r="G46" s="43"/>
      <c r="H46" s="44">
        <f t="shared" si="6"/>
        <v>0</v>
      </c>
      <c r="I46" s="43"/>
      <c r="J46" s="43"/>
      <c r="K46" s="45"/>
      <c r="L46" s="46"/>
      <c r="M46" s="43">
        <f t="shared" si="7"/>
        <v>0</v>
      </c>
      <c r="N46" s="45"/>
      <c r="O46" s="46"/>
      <c r="P46" s="44">
        <f t="shared" si="8"/>
        <v>0</v>
      </c>
      <c r="Q46" s="51">
        <f t="shared" si="27"/>
        <v>0</v>
      </c>
      <c r="R46" s="52">
        <f t="shared" si="28"/>
        <v>0</v>
      </c>
      <c r="S46" s="53">
        <f t="shared" si="9"/>
        <v>0</v>
      </c>
      <c r="T46" s="46"/>
      <c r="U46" s="46"/>
      <c r="V46" s="54"/>
      <c r="W46" s="45"/>
      <c r="X46" s="46"/>
      <c r="Y46" s="54">
        <f t="shared" si="11"/>
        <v>0</v>
      </c>
      <c r="Z46" s="45"/>
      <c r="AA46" s="46"/>
      <c r="AB46" s="54">
        <f t="shared" si="12"/>
        <v>0</v>
      </c>
      <c r="AC46" s="51">
        <f t="shared" si="29"/>
        <v>0</v>
      </c>
      <c r="AD46" s="52">
        <f t="shared" si="30"/>
        <v>0</v>
      </c>
      <c r="AE46" s="53">
        <f t="shared" si="20"/>
        <v>0</v>
      </c>
      <c r="AF46" s="45"/>
      <c r="AG46" s="46"/>
      <c r="AH46" s="54"/>
      <c r="AI46" s="45"/>
      <c r="AJ46" s="46"/>
      <c r="AK46" s="54"/>
      <c r="AL46" s="45"/>
      <c r="AM46" s="46"/>
      <c r="AN46" s="54"/>
      <c r="AO46" s="45"/>
      <c r="AP46" s="46"/>
      <c r="AQ46" s="54"/>
      <c r="AR46" s="45"/>
      <c r="AS46" s="46"/>
      <c r="AT46" s="54"/>
      <c r="AU46" s="45"/>
      <c r="AV46" s="46"/>
      <c r="AW46" s="54">
        <f t="shared" si="18"/>
        <v>0</v>
      </c>
      <c r="AX46" s="25">
        <f t="shared" si="33"/>
        <v>0</v>
      </c>
      <c r="AY46" s="62"/>
      <c r="AZ46" s="45">
        <f t="shared" si="31"/>
        <v>0</v>
      </c>
      <c r="BA46" s="46">
        <f t="shared" si="32"/>
        <v>0</v>
      </c>
      <c r="BB46" s="54">
        <f t="shared" si="19"/>
        <v>0</v>
      </c>
      <c r="BC46" s="87"/>
      <c r="BD46" s="87"/>
      <c r="BE46" s="5"/>
      <c r="BF46" s="6"/>
      <c r="BG46" s="2"/>
      <c r="BH46" s="2"/>
    </row>
    <row r="47" spans="1:60" s="59" customFormat="1" ht="12.75">
      <c r="A47" s="1" t="s">
        <v>56</v>
      </c>
      <c r="B47" s="1"/>
      <c r="C47" s="1"/>
      <c r="D47" s="1"/>
      <c r="E47" s="1"/>
      <c r="F47" s="42">
        <v>45.45454545454545</v>
      </c>
      <c r="G47" s="43">
        <v>149.23</v>
      </c>
      <c r="H47" s="44">
        <f t="shared" si="6"/>
        <v>-103.77545454545454</v>
      </c>
      <c r="I47" s="43"/>
      <c r="J47" s="43"/>
      <c r="K47" s="45">
        <f>+F47</f>
        <v>45.45454545454545</v>
      </c>
      <c r="L47" s="46"/>
      <c r="M47" s="43">
        <f t="shared" si="7"/>
        <v>45.45454545454545</v>
      </c>
      <c r="N47" s="45">
        <f>+K47</f>
        <v>45.45454545454545</v>
      </c>
      <c r="O47" s="46">
        <v>141.03</v>
      </c>
      <c r="P47" s="44">
        <f t="shared" si="8"/>
        <v>-95.57545454545455</v>
      </c>
      <c r="Q47" s="51">
        <f t="shared" si="27"/>
        <v>136.36363636363637</v>
      </c>
      <c r="R47" s="52">
        <f t="shared" si="28"/>
        <v>290.26</v>
      </c>
      <c r="S47" s="53">
        <f t="shared" si="9"/>
        <v>-153.89636363636362</v>
      </c>
      <c r="T47" s="46">
        <f>+N47</f>
        <v>45.45454545454545</v>
      </c>
      <c r="U47" s="46"/>
      <c r="V47" s="54"/>
      <c r="W47" s="45">
        <f>+T47</f>
        <v>45.45454545454545</v>
      </c>
      <c r="X47" s="46"/>
      <c r="Y47" s="54">
        <f t="shared" si="11"/>
        <v>45.45454545454545</v>
      </c>
      <c r="Z47" s="45">
        <f>+W47</f>
        <v>45.45454545454545</v>
      </c>
      <c r="AA47" s="46">
        <v>141.94</v>
      </c>
      <c r="AB47" s="54">
        <f t="shared" si="12"/>
        <v>-96.48545454545454</v>
      </c>
      <c r="AC47" s="51">
        <f t="shared" si="29"/>
        <v>272.7272727272727</v>
      </c>
      <c r="AD47" s="52">
        <f t="shared" si="30"/>
        <v>432.19999999999993</v>
      </c>
      <c r="AE47" s="53">
        <f t="shared" si="20"/>
        <v>-159.47272727272724</v>
      </c>
      <c r="AF47" s="45">
        <f>+Z47</f>
        <v>45.45454545454545</v>
      </c>
      <c r="AG47" s="46"/>
      <c r="AH47" s="54"/>
      <c r="AI47" s="45">
        <f>+AF47</f>
        <v>45.45454545454545</v>
      </c>
      <c r="AJ47" s="46"/>
      <c r="AK47" s="54"/>
      <c r="AL47" s="45">
        <f>+AI47</f>
        <v>45.45454545454545</v>
      </c>
      <c r="AM47" s="46">
        <v>145.76</v>
      </c>
      <c r="AN47" s="54"/>
      <c r="AO47" s="45">
        <f>+AL47</f>
        <v>45.45454545454545</v>
      </c>
      <c r="AP47" s="46"/>
      <c r="AQ47" s="54"/>
      <c r="AR47" s="45">
        <f>+AO47</f>
        <v>45.45454545454545</v>
      </c>
      <c r="AS47" s="46"/>
      <c r="AT47" s="54"/>
      <c r="AU47" s="45">
        <f>+AR47</f>
        <v>45.45454545454545</v>
      </c>
      <c r="AV47" s="46"/>
      <c r="AW47" s="54">
        <f t="shared" si="18"/>
        <v>45.45454545454545</v>
      </c>
      <c r="AX47" s="25">
        <f t="shared" si="33"/>
        <v>545.4545454545454</v>
      </c>
      <c r="AY47" s="62"/>
      <c r="AZ47" s="45">
        <f t="shared" si="31"/>
        <v>545.4545454545454</v>
      </c>
      <c r="BA47" s="46">
        <f t="shared" si="32"/>
        <v>577.96</v>
      </c>
      <c r="BB47" s="54">
        <f t="shared" si="19"/>
        <v>-32.505454545454654</v>
      </c>
      <c r="BC47" s="87">
        <f t="shared" si="24"/>
        <v>0.00020077178472085934</v>
      </c>
      <c r="BD47" s="87">
        <f t="shared" si="25"/>
        <v>0.00018827136894438156</v>
      </c>
      <c r="BE47" s="5">
        <f>+(AZ47-BA47)/AZ47</f>
        <v>-0.05959333333333354</v>
      </c>
      <c r="BF47" s="6">
        <f>+BA47/AZ47</f>
        <v>1.0595933333333336</v>
      </c>
      <c r="BG47" s="2"/>
      <c r="BH47" s="2"/>
    </row>
    <row r="48" spans="1:60" s="59" customFormat="1" ht="12.75">
      <c r="A48" s="1"/>
      <c r="B48" s="1"/>
      <c r="C48" s="1"/>
      <c r="D48" s="1"/>
      <c r="E48" s="1"/>
      <c r="F48" s="42"/>
      <c r="G48" s="43"/>
      <c r="H48" s="44">
        <f t="shared" si="6"/>
        <v>0</v>
      </c>
      <c r="I48" s="43"/>
      <c r="J48" s="43"/>
      <c r="K48" s="45"/>
      <c r="L48" s="46"/>
      <c r="M48" s="43">
        <f t="shared" si="7"/>
        <v>0</v>
      </c>
      <c r="N48" s="45"/>
      <c r="O48" s="46"/>
      <c r="P48" s="44">
        <f t="shared" si="8"/>
        <v>0</v>
      </c>
      <c r="Q48" s="51">
        <f t="shared" si="27"/>
        <v>0</v>
      </c>
      <c r="R48" s="52">
        <f t="shared" si="28"/>
        <v>0</v>
      </c>
      <c r="S48" s="53">
        <f t="shared" si="9"/>
        <v>0</v>
      </c>
      <c r="T48" s="46"/>
      <c r="U48" s="46"/>
      <c r="V48" s="54"/>
      <c r="W48" s="45"/>
      <c r="X48" s="46"/>
      <c r="Y48" s="54">
        <f t="shared" si="11"/>
        <v>0</v>
      </c>
      <c r="Z48" s="45"/>
      <c r="AA48" s="46"/>
      <c r="AB48" s="54">
        <f t="shared" si="12"/>
        <v>0</v>
      </c>
      <c r="AC48" s="51">
        <f t="shared" si="29"/>
        <v>0</v>
      </c>
      <c r="AD48" s="52">
        <f t="shared" si="30"/>
        <v>0</v>
      </c>
      <c r="AE48" s="53">
        <f t="shared" si="20"/>
        <v>0</v>
      </c>
      <c r="AF48" s="45"/>
      <c r="AG48" s="46"/>
      <c r="AH48" s="54"/>
      <c r="AI48" s="45"/>
      <c r="AJ48" s="46"/>
      <c r="AK48" s="54"/>
      <c r="AL48" s="45"/>
      <c r="AM48" s="46"/>
      <c r="AN48" s="54"/>
      <c r="AO48" s="45"/>
      <c r="AP48" s="46"/>
      <c r="AQ48" s="54"/>
      <c r="AR48" s="45"/>
      <c r="AS48" s="46"/>
      <c r="AT48" s="54"/>
      <c r="AU48" s="45"/>
      <c r="AV48" s="46"/>
      <c r="AW48" s="54">
        <f t="shared" si="18"/>
        <v>0</v>
      </c>
      <c r="AX48" s="25">
        <f t="shared" si="33"/>
        <v>0</v>
      </c>
      <c r="AY48" s="62"/>
      <c r="AZ48" s="45">
        <f t="shared" si="31"/>
        <v>0</v>
      </c>
      <c r="BA48" s="46">
        <f t="shared" si="32"/>
        <v>0</v>
      </c>
      <c r="BB48" s="54">
        <f t="shared" si="19"/>
        <v>0</v>
      </c>
      <c r="BC48" s="87"/>
      <c r="BD48" s="87"/>
      <c r="BE48" s="5"/>
      <c r="BF48" s="6"/>
      <c r="BG48" s="2"/>
      <c r="BH48" s="2"/>
    </row>
    <row r="49" spans="1:60" s="59" customFormat="1" ht="12.75">
      <c r="A49" s="1" t="s">
        <v>57</v>
      </c>
      <c r="B49" s="1"/>
      <c r="C49" s="1"/>
      <c r="D49" s="1"/>
      <c r="E49" s="1"/>
      <c r="F49" s="42">
        <v>72.72727272727273</v>
      </c>
      <c r="G49" s="43">
        <v>309.6</v>
      </c>
      <c r="H49" s="44">
        <f t="shared" si="6"/>
        <v>-236.87272727272727</v>
      </c>
      <c r="I49" s="43"/>
      <c r="J49" s="43"/>
      <c r="K49" s="45">
        <f>+F49</f>
        <v>72.72727272727273</v>
      </c>
      <c r="L49" s="46">
        <v>68.11</v>
      </c>
      <c r="M49" s="43">
        <f t="shared" si="7"/>
        <v>4.617272727272734</v>
      </c>
      <c r="N49" s="45">
        <f>+K49</f>
        <v>72.72727272727273</v>
      </c>
      <c r="O49" s="46">
        <v>330.16</v>
      </c>
      <c r="P49" s="44">
        <f t="shared" si="8"/>
        <v>-257.4327272727273</v>
      </c>
      <c r="Q49" s="51">
        <f t="shared" si="27"/>
        <v>218.1818181818182</v>
      </c>
      <c r="R49" s="52">
        <f t="shared" si="28"/>
        <v>707.8700000000001</v>
      </c>
      <c r="S49" s="53">
        <f t="shared" si="9"/>
        <v>-489.68818181818193</v>
      </c>
      <c r="T49" s="46">
        <f>+N49</f>
        <v>72.72727272727273</v>
      </c>
      <c r="U49" s="46"/>
      <c r="V49" s="54"/>
      <c r="W49" s="45">
        <f>+T49</f>
        <v>72.72727272727273</v>
      </c>
      <c r="X49" s="46">
        <v>118.98</v>
      </c>
      <c r="Y49" s="54">
        <f t="shared" si="11"/>
        <v>-46.25272727272727</v>
      </c>
      <c r="Z49" s="45">
        <f>+W49</f>
        <v>72.72727272727273</v>
      </c>
      <c r="AA49" s="46"/>
      <c r="AB49" s="54">
        <f t="shared" si="12"/>
        <v>72.72727272727273</v>
      </c>
      <c r="AC49" s="51">
        <f t="shared" si="29"/>
        <v>436.36363636363643</v>
      </c>
      <c r="AD49" s="52">
        <f t="shared" si="30"/>
        <v>826.8500000000001</v>
      </c>
      <c r="AE49" s="53">
        <f t="shared" si="20"/>
        <v>-390.4863636363637</v>
      </c>
      <c r="AF49" s="45">
        <f>+Z49</f>
        <v>72.72727272727273</v>
      </c>
      <c r="AG49" s="46">
        <v>58.78</v>
      </c>
      <c r="AH49" s="54"/>
      <c r="AI49" s="45">
        <f>+AF49</f>
        <v>72.72727272727273</v>
      </c>
      <c r="AJ49" s="46"/>
      <c r="AK49" s="54"/>
      <c r="AL49" s="45">
        <f>+AI49</f>
        <v>72.72727272727273</v>
      </c>
      <c r="AM49" s="46">
        <v>194.91</v>
      </c>
      <c r="AN49" s="54"/>
      <c r="AO49" s="45">
        <f>+AL49</f>
        <v>72.72727272727273</v>
      </c>
      <c r="AP49" s="46">
        <v>491.78</v>
      </c>
      <c r="AQ49" s="54"/>
      <c r="AR49" s="45">
        <f>+AO49</f>
        <v>72.72727272727273</v>
      </c>
      <c r="AS49" s="46"/>
      <c r="AT49" s="54"/>
      <c r="AU49" s="45">
        <f>+AR49</f>
        <v>72.72727272727273</v>
      </c>
      <c r="AV49" s="46">
        <v>68.78</v>
      </c>
      <c r="AW49" s="54">
        <f t="shared" si="18"/>
        <v>3.9472727272727326</v>
      </c>
      <c r="AX49" s="25">
        <f t="shared" si="33"/>
        <v>872.7272727272729</v>
      </c>
      <c r="AY49" s="62"/>
      <c r="AZ49" s="45">
        <f t="shared" si="31"/>
        <v>872.7272727272729</v>
      </c>
      <c r="BA49" s="46">
        <f t="shared" si="32"/>
        <v>1641.1000000000001</v>
      </c>
      <c r="BB49" s="54">
        <f t="shared" si="19"/>
        <v>-768.3727272727273</v>
      </c>
      <c r="BC49" s="87">
        <f t="shared" si="24"/>
        <v>0.0005700854313540768</v>
      </c>
      <c r="BD49" s="87">
        <f t="shared" si="25"/>
        <v>0.0003012341903110106</v>
      </c>
      <c r="BE49" s="5">
        <f>+(AZ49-BA49)/AZ49</f>
        <v>-0.8804270833333332</v>
      </c>
      <c r="BF49" s="6">
        <f>+BA49/AZ49</f>
        <v>1.8804270833333332</v>
      </c>
      <c r="BG49" s="2"/>
      <c r="BH49" s="2"/>
    </row>
    <row r="50" spans="1:60" s="59" customFormat="1" ht="12.75">
      <c r="A50" s="1"/>
      <c r="B50" s="1"/>
      <c r="C50" s="1"/>
      <c r="D50" s="1"/>
      <c r="E50" s="1"/>
      <c r="F50" s="42"/>
      <c r="G50" s="43"/>
      <c r="H50" s="44">
        <f t="shared" si="6"/>
        <v>0</v>
      </c>
      <c r="I50" s="43"/>
      <c r="J50" s="43"/>
      <c r="K50" s="45"/>
      <c r="L50" s="46"/>
      <c r="M50" s="43">
        <f t="shared" si="7"/>
        <v>0</v>
      </c>
      <c r="N50" s="45"/>
      <c r="O50" s="46"/>
      <c r="P50" s="44">
        <f t="shared" si="8"/>
        <v>0</v>
      </c>
      <c r="Q50" s="51">
        <f t="shared" si="27"/>
        <v>0</v>
      </c>
      <c r="R50" s="52">
        <f t="shared" si="28"/>
        <v>0</v>
      </c>
      <c r="S50" s="53">
        <f t="shared" si="9"/>
        <v>0</v>
      </c>
      <c r="T50" s="46"/>
      <c r="U50" s="46"/>
      <c r="V50" s="54"/>
      <c r="W50" s="45"/>
      <c r="X50" s="46"/>
      <c r="Y50" s="54">
        <f t="shared" si="11"/>
        <v>0</v>
      </c>
      <c r="Z50" s="45"/>
      <c r="AA50" s="46"/>
      <c r="AB50" s="54">
        <f t="shared" si="12"/>
        <v>0</v>
      </c>
      <c r="AC50" s="51">
        <f t="shared" si="29"/>
        <v>0</v>
      </c>
      <c r="AD50" s="52">
        <f t="shared" si="30"/>
        <v>0</v>
      </c>
      <c r="AE50" s="53">
        <f t="shared" si="20"/>
        <v>0</v>
      </c>
      <c r="AF50" s="45"/>
      <c r="AG50" s="46"/>
      <c r="AH50" s="54"/>
      <c r="AI50" s="45"/>
      <c r="AJ50" s="46"/>
      <c r="AK50" s="54"/>
      <c r="AL50" s="45"/>
      <c r="AM50" s="46"/>
      <c r="AN50" s="54"/>
      <c r="AO50" s="45"/>
      <c r="AP50" s="46"/>
      <c r="AQ50" s="54"/>
      <c r="AR50" s="45"/>
      <c r="AS50" s="46"/>
      <c r="AT50" s="54"/>
      <c r="AU50" s="45"/>
      <c r="AV50" s="46"/>
      <c r="AW50" s="54">
        <f t="shared" si="18"/>
        <v>0</v>
      </c>
      <c r="AX50" s="25">
        <f t="shared" si="33"/>
        <v>0</v>
      </c>
      <c r="AY50" s="62"/>
      <c r="AZ50" s="45">
        <f t="shared" si="31"/>
        <v>0</v>
      </c>
      <c r="BA50" s="46">
        <f t="shared" si="32"/>
        <v>0</v>
      </c>
      <c r="BB50" s="54">
        <f t="shared" si="19"/>
        <v>0</v>
      </c>
      <c r="BC50" s="87"/>
      <c r="BD50" s="87"/>
      <c r="BE50" s="5"/>
      <c r="BF50" s="6"/>
      <c r="BG50" s="2"/>
      <c r="BH50" s="2"/>
    </row>
    <row r="51" spans="1:60" s="59" customFormat="1" ht="12.75">
      <c r="A51" s="1" t="s">
        <v>58</v>
      </c>
      <c r="B51" s="1"/>
      <c r="C51" s="1"/>
      <c r="D51" s="1"/>
      <c r="E51" s="1"/>
      <c r="F51" s="42">
        <v>500</v>
      </c>
      <c r="G51" s="43">
        <v>808.68</v>
      </c>
      <c r="H51" s="44">
        <f t="shared" si="6"/>
        <v>-308.67999999999995</v>
      </c>
      <c r="I51" s="43"/>
      <c r="J51" s="43"/>
      <c r="K51" s="45">
        <f>+F51</f>
        <v>500</v>
      </c>
      <c r="L51" s="46">
        <v>550.66</v>
      </c>
      <c r="M51" s="43">
        <f t="shared" si="7"/>
        <v>-50.65999999999997</v>
      </c>
      <c r="N51" s="45">
        <f>+K51</f>
        <v>500</v>
      </c>
      <c r="O51" s="46">
        <v>620.4</v>
      </c>
      <c r="P51" s="44">
        <f t="shared" si="8"/>
        <v>-120.39999999999998</v>
      </c>
      <c r="Q51" s="51">
        <f t="shared" si="27"/>
        <v>1500</v>
      </c>
      <c r="R51" s="52">
        <f t="shared" si="28"/>
        <v>1979.7399999999998</v>
      </c>
      <c r="S51" s="53">
        <f t="shared" si="9"/>
        <v>-479.7399999999998</v>
      </c>
      <c r="T51" s="46">
        <f>+N51</f>
        <v>500</v>
      </c>
      <c r="U51" s="46">
        <v>662.2</v>
      </c>
      <c r="V51" s="54"/>
      <c r="W51" s="45">
        <f>+T51</f>
        <v>500</v>
      </c>
      <c r="X51" s="46">
        <v>733.32</v>
      </c>
      <c r="Y51" s="54">
        <f t="shared" si="11"/>
        <v>-233.32000000000005</v>
      </c>
      <c r="Z51" s="45">
        <f>+W51</f>
        <v>500</v>
      </c>
      <c r="AA51" s="46">
        <v>839.42</v>
      </c>
      <c r="AB51" s="54">
        <f t="shared" si="12"/>
        <v>-339.41999999999996</v>
      </c>
      <c r="AC51" s="51">
        <f t="shared" si="29"/>
        <v>3000</v>
      </c>
      <c r="AD51" s="52">
        <f t="shared" si="30"/>
        <v>4214.679999999999</v>
      </c>
      <c r="AE51" s="53">
        <f t="shared" si="20"/>
        <v>-1214.6799999999994</v>
      </c>
      <c r="AF51" s="45">
        <f>+Z51</f>
        <v>500</v>
      </c>
      <c r="AG51" s="46">
        <v>877.15</v>
      </c>
      <c r="AH51" s="54"/>
      <c r="AI51" s="45">
        <f>+AF51</f>
        <v>500</v>
      </c>
      <c r="AJ51" s="46">
        <v>1323.22</v>
      </c>
      <c r="AK51" s="54"/>
      <c r="AL51" s="45">
        <f>+AI51</f>
        <v>500</v>
      </c>
      <c r="AM51" s="46">
        <v>2682.87</v>
      </c>
      <c r="AN51" s="54"/>
      <c r="AO51" s="45">
        <f>+AL51</f>
        <v>500</v>
      </c>
      <c r="AP51" s="46">
        <v>577.43</v>
      </c>
      <c r="AQ51" s="54"/>
      <c r="AR51" s="45">
        <f>+AO51</f>
        <v>500</v>
      </c>
      <c r="AS51" s="46">
        <v>577.43</v>
      </c>
      <c r="AT51" s="54"/>
      <c r="AU51" s="45">
        <f>+AR51</f>
        <v>500</v>
      </c>
      <c r="AV51" s="46">
        <v>522.38</v>
      </c>
      <c r="AW51" s="54">
        <f t="shared" si="18"/>
        <v>-22.379999999999995</v>
      </c>
      <c r="AX51" s="25">
        <f t="shared" si="33"/>
        <v>6000</v>
      </c>
      <c r="AY51" s="62"/>
      <c r="AZ51" s="45">
        <f t="shared" si="31"/>
        <v>6000</v>
      </c>
      <c r="BA51" s="46">
        <f t="shared" si="32"/>
        <v>10775.159999999998</v>
      </c>
      <c r="BB51" s="63">
        <f t="shared" si="19"/>
        <v>-4775.159999999998</v>
      </c>
      <c r="BC51" s="87">
        <f t="shared" si="24"/>
        <v>0.0037430758250619665</v>
      </c>
      <c r="BD51" s="87">
        <f t="shared" si="25"/>
        <v>0.0020709850583881975</v>
      </c>
      <c r="BE51" s="5">
        <f>+(AZ51-BA51)/AZ51</f>
        <v>-0.7958599999999997</v>
      </c>
      <c r="BF51" s="6">
        <f>+BA51/AZ51</f>
        <v>1.7958599999999996</v>
      </c>
      <c r="BG51" s="2"/>
      <c r="BH51" s="2"/>
    </row>
    <row r="52" spans="6:56" ht="12.75">
      <c r="F52" s="42"/>
      <c r="G52" s="43"/>
      <c r="H52" s="44">
        <f t="shared" si="6"/>
        <v>0</v>
      </c>
      <c r="I52" s="43"/>
      <c r="J52" s="43"/>
      <c r="K52" s="45"/>
      <c r="L52" s="46"/>
      <c r="M52" s="43">
        <f t="shared" si="7"/>
        <v>0</v>
      </c>
      <c r="N52" s="45"/>
      <c r="O52" s="46"/>
      <c r="P52" s="44">
        <f t="shared" si="8"/>
        <v>0</v>
      </c>
      <c r="Q52" s="51">
        <f t="shared" si="27"/>
        <v>0</v>
      </c>
      <c r="R52" s="52">
        <f t="shared" si="28"/>
        <v>0</v>
      </c>
      <c r="S52" s="53">
        <f t="shared" si="9"/>
        <v>0</v>
      </c>
      <c r="T52" s="46"/>
      <c r="U52" s="46"/>
      <c r="V52" s="54">
        <f t="shared" si="10"/>
        <v>0</v>
      </c>
      <c r="W52" s="45"/>
      <c r="X52" s="46"/>
      <c r="Y52" s="54">
        <f t="shared" si="11"/>
        <v>0</v>
      </c>
      <c r="Z52" s="45"/>
      <c r="AA52" s="46"/>
      <c r="AB52" s="54">
        <f t="shared" si="12"/>
        <v>0</v>
      </c>
      <c r="AC52" s="51">
        <f t="shared" si="29"/>
        <v>0</v>
      </c>
      <c r="AD52" s="52">
        <f t="shared" si="30"/>
        <v>0</v>
      </c>
      <c r="AE52" s="53">
        <f t="shared" si="20"/>
        <v>0</v>
      </c>
      <c r="AF52" s="45"/>
      <c r="AG52" s="46"/>
      <c r="AH52" s="54">
        <f t="shared" si="13"/>
        <v>0</v>
      </c>
      <c r="AI52" s="45"/>
      <c r="AJ52" s="46"/>
      <c r="AK52" s="54">
        <f t="shared" si="14"/>
        <v>0</v>
      </c>
      <c r="AL52" s="45"/>
      <c r="AM52" s="46"/>
      <c r="AN52" s="54">
        <f t="shared" si="15"/>
        <v>0</v>
      </c>
      <c r="AO52" s="45"/>
      <c r="AP52" s="46"/>
      <c r="AQ52" s="54">
        <f t="shared" si="16"/>
        <v>0</v>
      </c>
      <c r="AR52" s="45"/>
      <c r="AS52" s="46"/>
      <c r="AT52" s="54">
        <f t="shared" si="17"/>
        <v>0</v>
      </c>
      <c r="AU52" s="45"/>
      <c r="AV52" s="46"/>
      <c r="AW52" s="54">
        <f t="shared" si="18"/>
        <v>0</v>
      </c>
      <c r="AX52" s="25"/>
      <c r="AY52" s="62"/>
      <c r="AZ52" s="45">
        <f t="shared" si="31"/>
        <v>0</v>
      </c>
      <c r="BA52" s="46">
        <f t="shared" si="32"/>
        <v>0</v>
      </c>
      <c r="BB52" s="54">
        <f t="shared" si="19"/>
        <v>0</v>
      </c>
      <c r="BC52" s="87"/>
      <c r="BD52" s="87"/>
    </row>
    <row r="53" spans="1:60" s="59" customFormat="1" ht="12.75">
      <c r="A53" s="1" t="s">
        <v>59</v>
      </c>
      <c r="B53" s="1"/>
      <c r="C53" s="1"/>
      <c r="D53" s="1"/>
      <c r="E53" s="1" t="s">
        <v>60</v>
      </c>
      <c r="F53" s="42">
        <v>1363.6363636363637</v>
      </c>
      <c r="G53" s="43">
        <f>283.92+39.4+70.65</f>
        <v>393.97</v>
      </c>
      <c r="H53" s="44">
        <f t="shared" si="6"/>
        <v>969.6663636363637</v>
      </c>
      <c r="I53" s="43"/>
      <c r="J53" s="43"/>
      <c r="K53" s="45">
        <f>+F53</f>
        <v>1363.6363636363637</v>
      </c>
      <c r="L53" s="46">
        <f>1335.84+24+133.96</f>
        <v>1493.8</v>
      </c>
      <c r="M53" s="43">
        <f t="shared" si="7"/>
        <v>-130.16363636363621</v>
      </c>
      <c r="N53" s="45">
        <f>+K53</f>
        <v>1363.6363636363637</v>
      </c>
      <c r="O53" s="46">
        <f>922.2+10.34+73.15</f>
        <v>1005.69</v>
      </c>
      <c r="P53" s="44">
        <f t="shared" si="8"/>
        <v>357.9463636363637</v>
      </c>
      <c r="Q53" s="51">
        <f t="shared" si="27"/>
        <v>4090.909090909091</v>
      </c>
      <c r="R53" s="52">
        <f t="shared" si="28"/>
        <v>2893.46</v>
      </c>
      <c r="S53" s="53">
        <f t="shared" si="9"/>
        <v>1197.449090909091</v>
      </c>
      <c r="T53" s="46">
        <f>+N53</f>
        <v>1363.6363636363637</v>
      </c>
      <c r="U53" s="46">
        <f>621.33+808.44+36+52.1</f>
        <v>1517.87</v>
      </c>
      <c r="V53" s="54">
        <f t="shared" si="10"/>
        <v>-154.23363636363615</v>
      </c>
      <c r="W53" s="45">
        <f>+T53</f>
        <v>1363.6363636363637</v>
      </c>
      <c r="X53" s="46">
        <f>868.78+313.22+16.3</f>
        <v>1198.3</v>
      </c>
      <c r="Y53" s="54">
        <f t="shared" si="11"/>
        <v>165.33636363636379</v>
      </c>
      <c r="Z53" s="45">
        <f>+W53</f>
        <v>1363.6363636363637</v>
      </c>
      <c r="AA53" s="46">
        <f>1216.39+85.54+150</f>
        <v>1451.93</v>
      </c>
      <c r="AB53" s="54">
        <f t="shared" si="12"/>
        <v>-88.29363636363632</v>
      </c>
      <c r="AC53" s="51">
        <f t="shared" si="29"/>
        <v>8181.818181818183</v>
      </c>
      <c r="AD53" s="52">
        <f t="shared" si="30"/>
        <v>7061.560000000001</v>
      </c>
      <c r="AE53" s="53">
        <f t="shared" si="20"/>
        <v>1120.2581818181816</v>
      </c>
      <c r="AF53" s="45">
        <f>+Z53</f>
        <v>1363.6363636363637</v>
      </c>
      <c r="AG53" s="46">
        <f>938.82+401.96+36+55.25</f>
        <v>1432.03</v>
      </c>
      <c r="AH53" s="54">
        <f t="shared" si="13"/>
        <v>-68.39363636363623</v>
      </c>
      <c r="AI53" s="45">
        <f>+AF53</f>
        <v>1363.6363636363637</v>
      </c>
      <c r="AJ53" s="46">
        <f>608.12+35</f>
        <v>643.12</v>
      </c>
      <c r="AK53" s="54">
        <f t="shared" si="14"/>
        <v>720.5163636363637</v>
      </c>
      <c r="AL53" s="45">
        <f>+AI53</f>
        <v>1363.6363636363637</v>
      </c>
      <c r="AM53" s="46">
        <f>883.23+787.98+52.04</f>
        <v>1723.25</v>
      </c>
      <c r="AN53" s="54">
        <f t="shared" si="15"/>
        <v>-359.61363636363626</v>
      </c>
      <c r="AO53" s="45">
        <f>+AL53</f>
        <v>1363.6363636363637</v>
      </c>
      <c r="AP53" s="46">
        <f>1052.54+51.9</f>
        <v>1104.44</v>
      </c>
      <c r="AQ53" s="54">
        <f t="shared" si="16"/>
        <v>259.1963636363637</v>
      </c>
      <c r="AR53" s="45">
        <f>+AO53</f>
        <v>1363.6363636363637</v>
      </c>
      <c r="AS53" s="43">
        <f>916.36+38.95</f>
        <v>955.3100000000001</v>
      </c>
      <c r="AT53" s="54">
        <f t="shared" si="17"/>
        <v>408.3263636363637</v>
      </c>
      <c r="AU53" s="45">
        <f>+AR53</f>
        <v>1363.6363636363637</v>
      </c>
      <c r="AV53" s="46">
        <v>865.82</v>
      </c>
      <c r="AW53" s="54">
        <f t="shared" si="18"/>
        <v>497.8163636363637</v>
      </c>
      <c r="AX53" s="25">
        <f>+F53+K53+N53+T53+W53+Z53+AF53+AI53+AL53+AO53+AR53+AU53</f>
        <v>16363.636363636366</v>
      </c>
      <c r="AY53" s="62"/>
      <c r="AZ53" s="45">
        <f t="shared" si="31"/>
        <v>16363.636363636366</v>
      </c>
      <c r="BA53" s="46">
        <f t="shared" si="32"/>
        <v>13785.53</v>
      </c>
      <c r="BB53" s="67">
        <f t="shared" si="19"/>
        <v>2578.106363636365</v>
      </c>
      <c r="BC53" s="87">
        <f t="shared" si="24"/>
        <v>0.0047888183635942765</v>
      </c>
      <c r="BD53" s="87">
        <f t="shared" si="25"/>
        <v>0.005648141068331449</v>
      </c>
      <c r="BE53" s="5">
        <f t="shared" si="21"/>
        <v>0.1575509444444445</v>
      </c>
      <c r="BF53" s="6">
        <f t="shared" si="22"/>
        <v>0.8424490555555555</v>
      </c>
      <c r="BG53" s="2"/>
      <c r="BH53" s="2"/>
    </row>
    <row r="54" spans="6:56" ht="12.75">
      <c r="F54" s="42"/>
      <c r="G54" s="43"/>
      <c r="H54" s="44">
        <f t="shared" si="6"/>
        <v>0</v>
      </c>
      <c r="I54" s="43"/>
      <c r="J54" s="43"/>
      <c r="K54" s="45"/>
      <c r="L54" s="46"/>
      <c r="M54" s="43">
        <f t="shared" si="7"/>
        <v>0</v>
      </c>
      <c r="N54" s="45"/>
      <c r="O54" s="46"/>
      <c r="P54" s="44">
        <f t="shared" si="8"/>
        <v>0</v>
      </c>
      <c r="Q54" s="51">
        <f t="shared" si="27"/>
        <v>0</v>
      </c>
      <c r="R54" s="52">
        <f t="shared" si="28"/>
        <v>0</v>
      </c>
      <c r="S54" s="53">
        <f t="shared" si="9"/>
        <v>0</v>
      </c>
      <c r="T54" s="46"/>
      <c r="U54" s="46"/>
      <c r="V54" s="54">
        <f t="shared" si="10"/>
        <v>0</v>
      </c>
      <c r="W54" s="45"/>
      <c r="X54" s="46"/>
      <c r="Y54" s="54">
        <f t="shared" si="11"/>
        <v>0</v>
      </c>
      <c r="Z54" s="45"/>
      <c r="AA54" s="46"/>
      <c r="AB54" s="54">
        <f t="shared" si="12"/>
        <v>0</v>
      </c>
      <c r="AC54" s="51">
        <f t="shared" si="29"/>
        <v>0</v>
      </c>
      <c r="AD54" s="52">
        <f t="shared" si="30"/>
        <v>0</v>
      </c>
      <c r="AE54" s="53">
        <f t="shared" si="20"/>
        <v>0</v>
      </c>
      <c r="AF54" s="45"/>
      <c r="AG54" s="46"/>
      <c r="AH54" s="54">
        <f t="shared" si="13"/>
        <v>0</v>
      </c>
      <c r="AI54" s="45"/>
      <c r="AJ54" s="46"/>
      <c r="AK54" s="54">
        <f t="shared" si="14"/>
        <v>0</v>
      </c>
      <c r="AL54" s="45"/>
      <c r="AM54" s="46"/>
      <c r="AN54" s="54">
        <f t="shared" si="15"/>
        <v>0</v>
      </c>
      <c r="AO54" s="45"/>
      <c r="AP54" s="46"/>
      <c r="AQ54" s="54">
        <f t="shared" si="16"/>
        <v>0</v>
      </c>
      <c r="AR54" s="45"/>
      <c r="AS54" s="46"/>
      <c r="AT54" s="54">
        <f t="shared" si="17"/>
        <v>0</v>
      </c>
      <c r="AU54" s="45"/>
      <c r="AV54" s="46"/>
      <c r="AW54" s="54">
        <f t="shared" si="18"/>
        <v>0</v>
      </c>
      <c r="AX54" s="25"/>
      <c r="AY54" s="62"/>
      <c r="AZ54" s="45">
        <f t="shared" si="31"/>
        <v>0</v>
      </c>
      <c r="BA54" s="46">
        <f t="shared" si="32"/>
        <v>0</v>
      </c>
      <c r="BB54" s="54">
        <f t="shared" si="19"/>
        <v>0</v>
      </c>
      <c r="BC54" s="87"/>
      <c r="BD54" s="87"/>
    </row>
    <row r="55" spans="1:60" s="59" customFormat="1" ht="12.75">
      <c r="A55" s="1" t="s">
        <v>61</v>
      </c>
      <c r="B55" s="1"/>
      <c r="C55" s="1"/>
      <c r="D55" s="1"/>
      <c r="E55" s="1" t="s">
        <v>62</v>
      </c>
      <c r="F55" s="42">
        <v>409.09090909090907</v>
      </c>
      <c r="G55" s="43">
        <v>469.09</v>
      </c>
      <c r="H55" s="44">
        <f t="shared" si="6"/>
        <v>-59.99909090909091</v>
      </c>
      <c r="I55" s="43"/>
      <c r="J55" s="43"/>
      <c r="K55" s="45">
        <f>+F55</f>
        <v>409.09090909090907</v>
      </c>
      <c r="L55" s="46">
        <v>451.54</v>
      </c>
      <c r="M55" s="43">
        <f t="shared" si="7"/>
        <v>-42.449090909090955</v>
      </c>
      <c r="N55" s="45">
        <f>+K55</f>
        <v>409.09090909090907</v>
      </c>
      <c r="O55" s="46">
        <v>349.96</v>
      </c>
      <c r="P55" s="44">
        <f t="shared" si="8"/>
        <v>59.130909090909086</v>
      </c>
      <c r="Q55" s="51">
        <f t="shared" si="27"/>
        <v>1227.2727272727273</v>
      </c>
      <c r="R55" s="52">
        <f t="shared" si="28"/>
        <v>1270.59</v>
      </c>
      <c r="S55" s="53">
        <f t="shared" si="9"/>
        <v>-43.317272727272666</v>
      </c>
      <c r="T55" s="46">
        <f>+N55</f>
        <v>409.09090909090907</v>
      </c>
      <c r="U55" s="46">
        <v>594.41</v>
      </c>
      <c r="V55" s="54">
        <f t="shared" si="10"/>
        <v>-185.3190909090909</v>
      </c>
      <c r="W55" s="45">
        <f>+T55</f>
        <v>409.09090909090907</v>
      </c>
      <c r="X55" s="46">
        <f>95.9+84.14</f>
        <v>180.04000000000002</v>
      </c>
      <c r="Y55" s="54">
        <f t="shared" si="11"/>
        <v>229.05090909090904</v>
      </c>
      <c r="Z55" s="45">
        <f>+W55</f>
        <v>409.09090909090907</v>
      </c>
      <c r="AA55" s="46">
        <f>2467.68-0.09</f>
        <v>2467.5899999999997</v>
      </c>
      <c r="AB55" s="54">
        <f t="shared" si="12"/>
        <v>-2058.4990909090907</v>
      </c>
      <c r="AC55" s="51">
        <f t="shared" si="29"/>
        <v>2454.5454545454545</v>
      </c>
      <c r="AD55" s="52">
        <f t="shared" si="30"/>
        <v>4512.63</v>
      </c>
      <c r="AE55" s="53">
        <f t="shared" si="20"/>
        <v>-2058.0845454545456</v>
      </c>
      <c r="AF55" s="45">
        <f>+Z55</f>
        <v>409.09090909090907</v>
      </c>
      <c r="AG55" s="46">
        <v>963.82</v>
      </c>
      <c r="AH55" s="54">
        <f t="shared" si="13"/>
        <v>-554.7290909090909</v>
      </c>
      <c r="AI55" s="45">
        <f>+AF55</f>
        <v>409.09090909090907</v>
      </c>
      <c r="AJ55" s="46">
        <v>198.05</v>
      </c>
      <c r="AK55" s="54">
        <f t="shared" si="14"/>
        <v>211.04090909090905</v>
      </c>
      <c r="AL55" s="45">
        <f>+AI55</f>
        <v>409.09090909090907</v>
      </c>
      <c r="AM55" s="46">
        <v>187.47</v>
      </c>
      <c r="AN55" s="54">
        <f t="shared" si="15"/>
        <v>221.62090909090907</v>
      </c>
      <c r="AO55" s="45">
        <f>+AL55</f>
        <v>409.09090909090907</v>
      </c>
      <c r="AP55" s="46">
        <v>113.08</v>
      </c>
      <c r="AQ55" s="54">
        <f t="shared" si="16"/>
        <v>296.0109090909091</v>
      </c>
      <c r="AR55" s="45">
        <f>+AO55</f>
        <v>409.09090909090907</v>
      </c>
      <c r="AS55" s="46">
        <v>270.25</v>
      </c>
      <c r="AT55" s="54">
        <f t="shared" si="17"/>
        <v>138.84090909090907</v>
      </c>
      <c r="AU55" s="45">
        <f>+AR55</f>
        <v>409.09090909090907</v>
      </c>
      <c r="AV55" s="46">
        <f>908.32+59.5</f>
        <v>967.82</v>
      </c>
      <c r="AW55" s="54">
        <f t="shared" si="18"/>
        <v>-558.7290909090909</v>
      </c>
      <c r="AX55" s="25">
        <f>+F55+K55+N55+T55+W55+Z55+AF55+AI55+AL55+AO55+AR55+AU55</f>
        <v>4909.090909090909</v>
      </c>
      <c r="AY55" s="62"/>
      <c r="AZ55" s="45">
        <f t="shared" si="31"/>
        <v>4909.090909090909</v>
      </c>
      <c r="BA55" s="46">
        <f t="shared" si="32"/>
        <v>7213.119999999999</v>
      </c>
      <c r="BB55" s="54">
        <f t="shared" si="19"/>
        <v>-2304.02909090909</v>
      </c>
      <c r="BC55" s="87">
        <f t="shared" si="24"/>
        <v>0.0025056941238247015</v>
      </c>
      <c r="BD55" s="87">
        <f t="shared" si="25"/>
        <v>0.0016944423204994343</v>
      </c>
      <c r="BE55" s="5">
        <f t="shared" si="21"/>
        <v>-0.46933925925925907</v>
      </c>
      <c r="BF55" s="6">
        <f t="shared" si="22"/>
        <v>1.4693392592592591</v>
      </c>
      <c r="BG55" s="2"/>
      <c r="BH55" s="2"/>
    </row>
    <row r="56" spans="6:56" ht="12.75">
      <c r="F56" s="42"/>
      <c r="G56" s="43"/>
      <c r="H56" s="44">
        <f t="shared" si="6"/>
        <v>0</v>
      </c>
      <c r="I56" s="43"/>
      <c r="J56" s="43"/>
      <c r="K56" s="45"/>
      <c r="L56" s="46"/>
      <c r="M56" s="43">
        <f t="shared" si="7"/>
        <v>0</v>
      </c>
      <c r="N56" s="45"/>
      <c r="O56" s="46"/>
      <c r="P56" s="44">
        <f t="shared" si="8"/>
        <v>0</v>
      </c>
      <c r="Q56" s="51">
        <f t="shared" si="27"/>
        <v>0</v>
      </c>
      <c r="R56" s="52">
        <f t="shared" si="28"/>
        <v>0</v>
      </c>
      <c r="S56" s="53">
        <f t="shared" si="9"/>
        <v>0</v>
      </c>
      <c r="T56" s="46"/>
      <c r="U56" s="46"/>
      <c r="V56" s="54">
        <f t="shared" si="10"/>
        <v>0</v>
      </c>
      <c r="W56" s="45"/>
      <c r="X56" s="46"/>
      <c r="Y56" s="54">
        <f t="shared" si="11"/>
        <v>0</v>
      </c>
      <c r="Z56" s="45"/>
      <c r="AA56" s="46"/>
      <c r="AB56" s="54">
        <f t="shared" si="12"/>
        <v>0</v>
      </c>
      <c r="AC56" s="51">
        <f t="shared" si="29"/>
        <v>0</v>
      </c>
      <c r="AD56" s="52">
        <f t="shared" si="30"/>
        <v>0</v>
      </c>
      <c r="AE56" s="53">
        <f t="shared" si="20"/>
        <v>0</v>
      </c>
      <c r="AF56" s="45"/>
      <c r="AG56" s="46"/>
      <c r="AH56" s="54">
        <f t="shared" si="13"/>
        <v>0</v>
      </c>
      <c r="AI56" s="45"/>
      <c r="AJ56" s="46"/>
      <c r="AK56" s="54">
        <f t="shared" si="14"/>
        <v>0</v>
      </c>
      <c r="AL56" s="45"/>
      <c r="AM56" s="46"/>
      <c r="AN56" s="54">
        <f t="shared" si="15"/>
        <v>0</v>
      </c>
      <c r="AO56" s="45"/>
      <c r="AP56" s="46"/>
      <c r="AQ56" s="54">
        <f t="shared" si="16"/>
        <v>0</v>
      </c>
      <c r="AR56" s="45"/>
      <c r="AS56" s="46"/>
      <c r="AT56" s="54">
        <f t="shared" si="17"/>
        <v>0</v>
      </c>
      <c r="AU56" s="45"/>
      <c r="AV56" s="46"/>
      <c r="AW56" s="54">
        <f t="shared" si="18"/>
        <v>0</v>
      </c>
      <c r="AX56" s="25"/>
      <c r="AY56" s="62"/>
      <c r="AZ56" s="45">
        <f t="shared" si="31"/>
        <v>0</v>
      </c>
      <c r="BA56" s="46">
        <f t="shared" si="32"/>
        <v>0</v>
      </c>
      <c r="BB56" s="54">
        <f t="shared" si="19"/>
        <v>0</v>
      </c>
      <c r="BC56" s="87"/>
      <c r="BD56" s="87"/>
    </row>
    <row r="57" spans="1:60" s="59" customFormat="1" ht="12.75">
      <c r="A57" s="1" t="s">
        <v>94</v>
      </c>
      <c r="B57" s="1"/>
      <c r="C57" s="1"/>
      <c r="D57" s="1"/>
      <c r="E57" s="1" t="s">
        <v>63</v>
      </c>
      <c r="F57" s="42">
        <v>50100</v>
      </c>
      <c r="G57" s="43">
        <v>50200</v>
      </c>
      <c r="H57" s="44">
        <f t="shared" si="6"/>
        <v>-100</v>
      </c>
      <c r="I57" s="87">
        <f>+H57/G57</f>
        <v>-0.00199203187250996</v>
      </c>
      <c r="J57" s="43"/>
      <c r="K57" s="45">
        <f>+F57</f>
        <v>50100</v>
      </c>
      <c r="L57" s="46">
        <f>+G57</f>
        <v>50200</v>
      </c>
      <c r="M57" s="43">
        <f t="shared" si="7"/>
        <v>-100</v>
      </c>
      <c r="N57" s="45">
        <f>+K57</f>
        <v>50100</v>
      </c>
      <c r="O57" s="46">
        <f>+L57</f>
        <v>50200</v>
      </c>
      <c r="P57" s="44">
        <f t="shared" si="8"/>
        <v>-100</v>
      </c>
      <c r="Q57" s="51">
        <f t="shared" si="27"/>
        <v>150300</v>
      </c>
      <c r="R57" s="52">
        <f t="shared" si="28"/>
        <v>150600</v>
      </c>
      <c r="S57" s="53">
        <f t="shared" si="9"/>
        <v>-300</v>
      </c>
      <c r="T57" s="46">
        <f>+N57</f>
        <v>50100</v>
      </c>
      <c r="U57" s="46">
        <f>+O57</f>
        <v>50200</v>
      </c>
      <c r="V57" s="54">
        <f t="shared" si="10"/>
        <v>-100</v>
      </c>
      <c r="W57" s="45">
        <f>+T57</f>
        <v>50100</v>
      </c>
      <c r="X57" s="46">
        <f>+U57</f>
        <v>50200</v>
      </c>
      <c r="Y57" s="54">
        <f t="shared" si="11"/>
        <v>-100</v>
      </c>
      <c r="Z57" s="45">
        <f>+W57</f>
        <v>50100</v>
      </c>
      <c r="AA57" s="46">
        <f>+X57</f>
        <v>50200</v>
      </c>
      <c r="AB57" s="54">
        <f t="shared" si="12"/>
        <v>-100</v>
      </c>
      <c r="AC57" s="51">
        <f t="shared" si="29"/>
        <v>300600</v>
      </c>
      <c r="AD57" s="52">
        <f t="shared" si="30"/>
        <v>301200</v>
      </c>
      <c r="AE57" s="53">
        <f t="shared" si="20"/>
        <v>-600</v>
      </c>
      <c r="AF57" s="45">
        <f>+Z57</f>
        <v>50100</v>
      </c>
      <c r="AG57" s="65">
        <f>+AA57</f>
        <v>50200</v>
      </c>
      <c r="AH57" s="54">
        <f t="shared" si="13"/>
        <v>-100</v>
      </c>
      <c r="AI57" s="45">
        <f>+AF57</f>
        <v>50100</v>
      </c>
      <c r="AJ57" s="65">
        <f>+AG57</f>
        <v>50200</v>
      </c>
      <c r="AK57" s="54">
        <f t="shared" si="14"/>
        <v>-100</v>
      </c>
      <c r="AL57" s="45">
        <f>+AI57</f>
        <v>50100</v>
      </c>
      <c r="AM57" s="65">
        <f>+AJ57</f>
        <v>50200</v>
      </c>
      <c r="AN57" s="54">
        <f t="shared" si="15"/>
        <v>-100</v>
      </c>
      <c r="AO57" s="45">
        <f>+AL57</f>
        <v>50100</v>
      </c>
      <c r="AP57" s="46">
        <f>+AM57</f>
        <v>50200</v>
      </c>
      <c r="AQ57" s="54">
        <f t="shared" si="16"/>
        <v>-100</v>
      </c>
      <c r="AR57" s="45">
        <f>+AO57</f>
        <v>50100</v>
      </c>
      <c r="AS57" s="46">
        <f>+AP57</f>
        <v>50200</v>
      </c>
      <c r="AT57" s="54">
        <f t="shared" si="17"/>
        <v>-100</v>
      </c>
      <c r="AU57" s="45">
        <f>+AR57</f>
        <v>50100</v>
      </c>
      <c r="AV57" s="46">
        <f>+AS57</f>
        <v>50200</v>
      </c>
      <c r="AW57" s="54">
        <f t="shared" si="18"/>
        <v>-100</v>
      </c>
      <c r="AX57" s="25">
        <f>+F57+K57+N57+T57+W57+Z57+AF57+AI57+AL57+AO57+AR57+AU57</f>
        <v>601200</v>
      </c>
      <c r="AY57" s="62">
        <f>+AX57/$AX$10</f>
        <v>0.2189265819588523</v>
      </c>
      <c r="AZ57" s="45">
        <f t="shared" si="31"/>
        <v>601200</v>
      </c>
      <c r="BA57" s="46">
        <f t="shared" si="32"/>
        <v>602400</v>
      </c>
      <c r="BB57" s="63">
        <f t="shared" si="19"/>
        <v>-1200</v>
      </c>
      <c r="BC57" s="87">
        <f t="shared" si="24"/>
        <v>0.20926175360897925</v>
      </c>
      <c r="BD57" s="87">
        <f t="shared" si="25"/>
        <v>0.2075127028504974</v>
      </c>
      <c r="BE57" s="5">
        <f t="shared" si="21"/>
        <v>-0.001996007984031936</v>
      </c>
      <c r="BF57" s="6">
        <f t="shared" si="22"/>
        <v>1.001996007984032</v>
      </c>
      <c r="BG57" s="2"/>
      <c r="BH57" s="2"/>
    </row>
    <row r="58" spans="6:56" ht="12.75">
      <c r="F58" s="42"/>
      <c r="G58" s="43"/>
      <c r="H58" s="44">
        <f t="shared" si="6"/>
        <v>0</v>
      </c>
      <c r="I58" s="43"/>
      <c r="J58" s="43"/>
      <c r="K58" s="45"/>
      <c r="L58" s="46"/>
      <c r="M58" s="43">
        <f t="shared" si="7"/>
        <v>0</v>
      </c>
      <c r="N58" s="45"/>
      <c r="O58" s="46"/>
      <c r="P58" s="44">
        <f t="shared" si="8"/>
        <v>0</v>
      </c>
      <c r="Q58" s="51">
        <f t="shared" si="27"/>
        <v>0</v>
      </c>
      <c r="R58" s="52">
        <f t="shared" si="28"/>
        <v>0</v>
      </c>
      <c r="S58" s="53">
        <f t="shared" si="9"/>
        <v>0</v>
      </c>
      <c r="T58" s="46"/>
      <c r="U58" s="46"/>
      <c r="V58" s="54">
        <f t="shared" si="10"/>
        <v>0</v>
      </c>
      <c r="W58" s="45"/>
      <c r="X58" s="46"/>
      <c r="Y58" s="54">
        <f t="shared" si="11"/>
        <v>0</v>
      </c>
      <c r="Z58" s="45"/>
      <c r="AA58" s="46"/>
      <c r="AB58" s="54">
        <f t="shared" si="12"/>
        <v>0</v>
      </c>
      <c r="AC58" s="51">
        <f t="shared" si="29"/>
        <v>0</v>
      </c>
      <c r="AD58" s="52">
        <f t="shared" si="30"/>
        <v>0</v>
      </c>
      <c r="AE58" s="53">
        <f t="shared" si="20"/>
        <v>0</v>
      </c>
      <c r="AF58" s="45"/>
      <c r="AG58" s="46"/>
      <c r="AH58" s="54">
        <f t="shared" si="13"/>
        <v>0</v>
      </c>
      <c r="AI58" s="45"/>
      <c r="AJ58" s="46"/>
      <c r="AK58" s="54">
        <f t="shared" si="14"/>
        <v>0</v>
      </c>
      <c r="AL58" s="45"/>
      <c r="AM58" s="46"/>
      <c r="AN58" s="54">
        <f t="shared" si="15"/>
        <v>0</v>
      </c>
      <c r="AO58" s="45"/>
      <c r="AP58" s="46"/>
      <c r="AQ58" s="54">
        <f t="shared" si="16"/>
        <v>0</v>
      </c>
      <c r="AR58" s="45"/>
      <c r="AS58" s="46"/>
      <c r="AT58" s="54">
        <f t="shared" si="17"/>
        <v>0</v>
      </c>
      <c r="AU58" s="45"/>
      <c r="AV58" s="46"/>
      <c r="AW58" s="54">
        <f t="shared" si="18"/>
        <v>0</v>
      </c>
      <c r="AX58" s="25"/>
      <c r="AZ58" s="45">
        <f t="shared" si="31"/>
        <v>0</v>
      </c>
      <c r="BA58" s="46">
        <f t="shared" si="32"/>
        <v>0</v>
      </c>
      <c r="BB58" s="54">
        <f t="shared" si="19"/>
        <v>0</v>
      </c>
      <c r="BC58" s="87"/>
      <c r="BD58" s="87"/>
    </row>
    <row r="59" spans="1:60" s="59" customFormat="1" ht="12.75">
      <c r="A59" s="1" t="s">
        <v>64</v>
      </c>
      <c r="B59" s="1"/>
      <c r="C59" s="1"/>
      <c r="D59" s="1"/>
      <c r="E59" s="1" t="s">
        <v>65</v>
      </c>
      <c r="F59" s="42">
        <f>+(800+351+12000+120)/12</f>
        <v>1105.9166666666667</v>
      </c>
      <c r="G59" s="43"/>
      <c r="H59" s="44">
        <f t="shared" si="6"/>
        <v>1105.9166666666667</v>
      </c>
      <c r="I59" s="43"/>
      <c r="J59" s="43"/>
      <c r="K59" s="45">
        <v>1167.66666666667</v>
      </c>
      <c r="L59" s="46">
        <f>280+4.8</f>
        <v>284.8</v>
      </c>
      <c r="M59" s="43">
        <f t="shared" si="7"/>
        <v>882.86666666667</v>
      </c>
      <c r="N59" s="45">
        <v>1168.66666666667</v>
      </c>
      <c r="O59" s="46"/>
      <c r="P59" s="44">
        <f t="shared" si="8"/>
        <v>1168.66666666667</v>
      </c>
      <c r="Q59" s="51">
        <f t="shared" si="27"/>
        <v>3442.2500000000064</v>
      </c>
      <c r="R59" s="52">
        <f t="shared" si="28"/>
        <v>284.8</v>
      </c>
      <c r="S59" s="53">
        <f t="shared" si="9"/>
        <v>3157.450000000006</v>
      </c>
      <c r="T59" s="46">
        <v>1169.66666666667</v>
      </c>
      <c r="U59" s="46">
        <f>287.76+150</f>
        <v>437.76</v>
      </c>
      <c r="V59" s="54">
        <f t="shared" si="10"/>
        <v>731.9066666666699</v>
      </c>
      <c r="W59" s="45">
        <v>1170.66666666667</v>
      </c>
      <c r="X59" s="46">
        <f>32.2+270</f>
        <v>302.2</v>
      </c>
      <c r="Y59" s="54">
        <f t="shared" si="11"/>
        <v>868.4666666666699</v>
      </c>
      <c r="Z59" s="45">
        <v>1171.66666666667</v>
      </c>
      <c r="AA59" s="46"/>
      <c r="AB59" s="54">
        <f t="shared" si="12"/>
        <v>1171.66666666667</v>
      </c>
      <c r="AC59" s="51">
        <f t="shared" si="29"/>
        <v>6954.250000000016</v>
      </c>
      <c r="AD59" s="52">
        <f t="shared" si="30"/>
        <v>1024.76</v>
      </c>
      <c r="AE59" s="53">
        <f t="shared" si="20"/>
        <v>5929.490000000016</v>
      </c>
      <c r="AF59" s="45">
        <v>1172.66666666667</v>
      </c>
      <c r="AG59" s="46">
        <v>435.81</v>
      </c>
      <c r="AH59" s="54">
        <f t="shared" si="13"/>
        <v>736.85666666667</v>
      </c>
      <c r="AI59" s="45">
        <v>1173.66666666667</v>
      </c>
      <c r="AJ59" s="46"/>
      <c r="AK59" s="54">
        <f t="shared" si="14"/>
        <v>1173.66666666667</v>
      </c>
      <c r="AL59" s="45">
        <v>1174.66666666667</v>
      </c>
      <c r="AM59" s="46">
        <v>-32.2</v>
      </c>
      <c r="AN59" s="54">
        <f t="shared" si="15"/>
        <v>1206.86666666667</v>
      </c>
      <c r="AO59" s="45">
        <v>1175.66666666667</v>
      </c>
      <c r="AP59" s="46">
        <v>154.47</v>
      </c>
      <c r="AQ59" s="54">
        <f t="shared" si="16"/>
        <v>1021.1966666666699</v>
      </c>
      <c r="AR59" s="45">
        <v>1176.66666666667</v>
      </c>
      <c r="AS59" s="46">
        <f>280+11919.46+45</f>
        <v>12244.46</v>
      </c>
      <c r="AT59" s="54">
        <f t="shared" si="17"/>
        <v>-11067.79333333333</v>
      </c>
      <c r="AU59" s="45">
        <v>1177.66666666667</v>
      </c>
      <c r="AV59" s="46">
        <f>132.4+15.02</f>
        <v>147.42000000000002</v>
      </c>
      <c r="AW59" s="54">
        <f t="shared" si="18"/>
        <v>1030.2466666666699</v>
      </c>
      <c r="AX59" s="25">
        <f>+F59+K59+N59+T59+W59+Z59+AF59+AI59+AL59+AO59+AR59+AU59</f>
        <v>14005.250000000035</v>
      </c>
      <c r="AY59" s="2"/>
      <c r="AZ59" s="45">
        <f t="shared" si="31"/>
        <v>14005.250000000035</v>
      </c>
      <c r="BA59" s="46">
        <f t="shared" si="32"/>
        <v>13974.72</v>
      </c>
      <c r="BB59" s="54">
        <f t="shared" si="19"/>
        <v>30.530000000035216</v>
      </c>
      <c r="BC59" s="87">
        <f t="shared" si="24"/>
        <v>0.00485453919886201</v>
      </c>
      <c r="BD59" s="87">
        <f t="shared" si="25"/>
        <v>0.004834110581498563</v>
      </c>
      <c r="BE59" s="5">
        <f t="shared" si="21"/>
        <v>0.002179896824407643</v>
      </c>
      <c r="BF59" s="6">
        <f t="shared" si="22"/>
        <v>0.9978201031755923</v>
      </c>
      <c r="BG59" s="2"/>
      <c r="BH59" s="2"/>
    </row>
    <row r="60" spans="6:56" ht="12.75">
      <c r="F60" s="42"/>
      <c r="G60" s="43"/>
      <c r="H60" s="44">
        <f t="shared" si="6"/>
        <v>0</v>
      </c>
      <c r="I60" s="43"/>
      <c r="J60" s="43"/>
      <c r="K60" s="45"/>
      <c r="L60" s="46"/>
      <c r="M60" s="43">
        <f t="shared" si="7"/>
        <v>0</v>
      </c>
      <c r="N60" s="45"/>
      <c r="O60" s="46"/>
      <c r="P60" s="44">
        <f t="shared" si="8"/>
        <v>0</v>
      </c>
      <c r="Q60" s="51">
        <f t="shared" si="27"/>
        <v>0</v>
      </c>
      <c r="R60" s="52">
        <f t="shared" si="28"/>
        <v>0</v>
      </c>
      <c r="S60" s="53">
        <f t="shared" si="9"/>
        <v>0</v>
      </c>
      <c r="T60" s="46"/>
      <c r="U60" s="46"/>
      <c r="V60" s="54">
        <f t="shared" si="10"/>
        <v>0</v>
      </c>
      <c r="W60" s="45"/>
      <c r="X60" s="46"/>
      <c r="Y60" s="54">
        <f t="shared" si="11"/>
        <v>0</v>
      </c>
      <c r="Z60" s="45"/>
      <c r="AA60" s="46"/>
      <c r="AB60" s="54">
        <f t="shared" si="12"/>
        <v>0</v>
      </c>
      <c r="AC60" s="51">
        <f t="shared" si="29"/>
        <v>0</v>
      </c>
      <c r="AD60" s="52">
        <f t="shared" si="30"/>
        <v>0</v>
      </c>
      <c r="AE60" s="53">
        <f t="shared" si="20"/>
        <v>0</v>
      </c>
      <c r="AF60" s="45"/>
      <c r="AG60" s="46"/>
      <c r="AH60" s="54">
        <f t="shared" si="13"/>
        <v>0</v>
      </c>
      <c r="AI60" s="45"/>
      <c r="AJ60" s="46"/>
      <c r="AK60" s="54">
        <f t="shared" si="14"/>
        <v>0</v>
      </c>
      <c r="AL60" s="45"/>
      <c r="AM60" s="46"/>
      <c r="AN60" s="54">
        <f t="shared" si="15"/>
        <v>0</v>
      </c>
      <c r="AO60" s="45"/>
      <c r="AP60" s="46"/>
      <c r="AQ60" s="54">
        <f t="shared" si="16"/>
        <v>0</v>
      </c>
      <c r="AR60" s="45"/>
      <c r="AS60" s="46"/>
      <c r="AT60" s="54">
        <f t="shared" si="17"/>
        <v>0</v>
      </c>
      <c r="AU60" s="45"/>
      <c r="AV60" s="46"/>
      <c r="AW60" s="54">
        <f t="shared" si="18"/>
        <v>0</v>
      </c>
      <c r="AX60" s="25"/>
      <c r="AZ60" s="45">
        <f t="shared" si="31"/>
        <v>0</v>
      </c>
      <c r="BA60" s="46">
        <f t="shared" si="32"/>
        <v>0</v>
      </c>
      <c r="BB60" s="54">
        <f t="shared" si="19"/>
        <v>0</v>
      </c>
      <c r="BC60" s="87"/>
      <c r="BD60" s="87"/>
    </row>
    <row r="61" spans="1:60" s="59" customFormat="1" ht="12.75">
      <c r="A61" s="1" t="s">
        <v>66</v>
      </c>
      <c r="B61" s="1"/>
      <c r="C61" s="1"/>
      <c r="D61" s="1"/>
      <c r="E61" s="1" t="s">
        <v>67</v>
      </c>
      <c r="F61" s="42">
        <v>22500</v>
      </c>
      <c r="G61" s="43">
        <v>22978.97</v>
      </c>
      <c r="H61" s="44">
        <f t="shared" si="6"/>
        <v>-478.97000000000116</v>
      </c>
      <c r="I61" s="43"/>
      <c r="J61" s="43"/>
      <c r="K61" s="45">
        <f>+F61</f>
        <v>22500</v>
      </c>
      <c r="L61" s="46">
        <f>+G61</f>
        <v>22978.97</v>
      </c>
      <c r="M61" s="43">
        <f t="shared" si="7"/>
        <v>-478.97000000000116</v>
      </c>
      <c r="N61" s="45">
        <f>+K61</f>
        <v>22500</v>
      </c>
      <c r="O61" s="46">
        <f>+L61</f>
        <v>22978.97</v>
      </c>
      <c r="P61" s="44">
        <f t="shared" si="8"/>
        <v>-478.97000000000116</v>
      </c>
      <c r="Q61" s="51">
        <f t="shared" si="27"/>
        <v>67500</v>
      </c>
      <c r="R61" s="52">
        <f t="shared" si="28"/>
        <v>68936.91</v>
      </c>
      <c r="S61" s="53">
        <f t="shared" si="9"/>
        <v>-1436.9100000000035</v>
      </c>
      <c r="T61" s="46">
        <f>+N61</f>
        <v>22500</v>
      </c>
      <c r="U61" s="46">
        <f>+O61</f>
        <v>22978.97</v>
      </c>
      <c r="V61" s="54">
        <f t="shared" si="10"/>
        <v>-478.97000000000116</v>
      </c>
      <c r="W61" s="45">
        <f>+T61</f>
        <v>22500</v>
      </c>
      <c r="X61" s="46">
        <f>+U61</f>
        <v>22978.97</v>
      </c>
      <c r="Y61" s="54">
        <f t="shared" si="11"/>
        <v>-478.97000000000116</v>
      </c>
      <c r="Z61" s="45">
        <f>+W61</f>
        <v>22500</v>
      </c>
      <c r="AA61" s="46">
        <f>+X61</f>
        <v>22978.97</v>
      </c>
      <c r="AB61" s="54">
        <f t="shared" si="12"/>
        <v>-478.97000000000116</v>
      </c>
      <c r="AC61" s="51">
        <f t="shared" si="29"/>
        <v>135000</v>
      </c>
      <c r="AD61" s="52">
        <f t="shared" si="30"/>
        <v>137873.82</v>
      </c>
      <c r="AE61" s="53">
        <f t="shared" si="20"/>
        <v>-2873.820000000007</v>
      </c>
      <c r="AF61" s="45">
        <f>+Z61</f>
        <v>22500</v>
      </c>
      <c r="AG61" s="46">
        <f>+AA61</f>
        <v>22978.97</v>
      </c>
      <c r="AH61" s="54">
        <f t="shared" si="13"/>
        <v>-478.97000000000116</v>
      </c>
      <c r="AI61" s="45">
        <f>+AF61</f>
        <v>22500</v>
      </c>
      <c r="AJ61" s="46">
        <f>+AG61</f>
        <v>22978.97</v>
      </c>
      <c r="AK61" s="54">
        <f t="shared" si="14"/>
        <v>-478.97000000000116</v>
      </c>
      <c r="AL61" s="45">
        <f>+AI61</f>
        <v>22500</v>
      </c>
      <c r="AM61" s="46">
        <f>+AJ61</f>
        <v>22978.97</v>
      </c>
      <c r="AN61" s="54">
        <f t="shared" si="15"/>
        <v>-478.97000000000116</v>
      </c>
      <c r="AO61" s="45">
        <f>+AL61</f>
        <v>22500</v>
      </c>
      <c r="AP61" s="46">
        <f>+AM61</f>
        <v>22978.97</v>
      </c>
      <c r="AQ61" s="54">
        <f t="shared" si="16"/>
        <v>-478.97000000000116</v>
      </c>
      <c r="AR61" s="45">
        <f>+AO61</f>
        <v>22500</v>
      </c>
      <c r="AS61" s="46">
        <f>+AP61</f>
        <v>22978.97</v>
      </c>
      <c r="AT61" s="54">
        <f t="shared" si="17"/>
        <v>-478.97000000000116</v>
      </c>
      <c r="AU61" s="45">
        <f>+AR61</f>
        <v>22500</v>
      </c>
      <c r="AV61" s="46">
        <f>+AS61</f>
        <v>22978.97</v>
      </c>
      <c r="AW61" s="54">
        <f t="shared" si="18"/>
        <v>-478.97000000000116</v>
      </c>
      <c r="AX61" s="25">
        <f>+F61+K61+N61+T61+W61+Z61+AF61+AI61+AL61+AO61+AR61+AU61</f>
        <v>270000</v>
      </c>
      <c r="AY61" s="2"/>
      <c r="AZ61" s="45">
        <f t="shared" si="31"/>
        <v>270000</v>
      </c>
      <c r="BA61" s="46">
        <f t="shared" si="32"/>
        <v>275747.64</v>
      </c>
      <c r="BB61" s="63">
        <f t="shared" si="19"/>
        <v>-5747.640000000014</v>
      </c>
      <c r="BC61" s="87">
        <f t="shared" si="24"/>
        <v>0.09578923422964396</v>
      </c>
      <c r="BD61" s="87">
        <f t="shared" si="25"/>
        <v>0.09319432762746889</v>
      </c>
      <c r="BE61" s="5">
        <f t="shared" si="21"/>
        <v>-0.021287555555555608</v>
      </c>
      <c r="BF61" s="6">
        <f t="shared" si="22"/>
        <v>1.0212875555555556</v>
      </c>
      <c r="BG61" s="2"/>
      <c r="BH61" s="2"/>
    </row>
    <row r="62" spans="1:60" s="59" customFormat="1" ht="12.75">
      <c r="A62" s="1" t="s">
        <v>68</v>
      </c>
      <c r="B62" s="1"/>
      <c r="C62" s="1"/>
      <c r="D62" s="1"/>
      <c r="E62" s="1" t="s">
        <v>69</v>
      </c>
      <c r="F62" s="42">
        <v>3400</v>
      </c>
      <c r="G62" s="43">
        <v>3364.09</v>
      </c>
      <c r="H62" s="44">
        <f t="shared" si="6"/>
        <v>35.909999999999854</v>
      </c>
      <c r="I62" s="43"/>
      <c r="J62" s="43"/>
      <c r="K62" s="45">
        <f>+F62</f>
        <v>3400</v>
      </c>
      <c r="L62" s="46">
        <v>3802.45</v>
      </c>
      <c r="M62" s="43">
        <f t="shared" si="7"/>
        <v>-402.4499999999998</v>
      </c>
      <c r="N62" s="45">
        <f>+K62</f>
        <v>3400</v>
      </c>
      <c r="O62" s="46">
        <v>3791.09</v>
      </c>
      <c r="P62" s="44">
        <f t="shared" si="8"/>
        <v>-391.09000000000015</v>
      </c>
      <c r="Q62" s="51">
        <f t="shared" si="27"/>
        <v>10200</v>
      </c>
      <c r="R62" s="52">
        <f t="shared" si="28"/>
        <v>10957.630000000001</v>
      </c>
      <c r="S62" s="53">
        <f t="shared" si="9"/>
        <v>-757.630000000001</v>
      </c>
      <c r="T62" s="46">
        <f>+N62</f>
        <v>3400</v>
      </c>
      <c r="U62" s="46">
        <v>4046.81</v>
      </c>
      <c r="V62" s="54">
        <f t="shared" si="10"/>
        <v>-646.81</v>
      </c>
      <c r="W62" s="45">
        <f>+T62</f>
        <v>3400</v>
      </c>
      <c r="X62" s="46">
        <v>4126.02</v>
      </c>
      <c r="Y62" s="54">
        <f t="shared" si="11"/>
        <v>-726.0200000000004</v>
      </c>
      <c r="Z62" s="45">
        <f>+W62</f>
        <v>3400</v>
      </c>
      <c r="AA62" s="46">
        <v>4109.38</v>
      </c>
      <c r="AB62" s="54">
        <f t="shared" si="12"/>
        <v>-709.3800000000001</v>
      </c>
      <c r="AC62" s="51">
        <f t="shared" si="29"/>
        <v>20400</v>
      </c>
      <c r="AD62" s="52">
        <f t="shared" si="30"/>
        <v>23239.84</v>
      </c>
      <c r="AE62" s="53">
        <f t="shared" si="20"/>
        <v>-2839.84</v>
      </c>
      <c r="AF62" s="45">
        <f>+Z62</f>
        <v>3400</v>
      </c>
      <c r="AG62" s="46">
        <v>4169.94</v>
      </c>
      <c r="AH62" s="54">
        <f t="shared" si="13"/>
        <v>-769.9399999999996</v>
      </c>
      <c r="AI62" s="45">
        <f>+AF62</f>
        <v>3400</v>
      </c>
      <c r="AJ62" s="46">
        <v>4108.38</v>
      </c>
      <c r="AK62" s="54">
        <f t="shared" si="14"/>
        <v>-708.3800000000001</v>
      </c>
      <c r="AL62" s="45">
        <f>+AI62</f>
        <v>3400</v>
      </c>
      <c r="AM62" s="46">
        <v>4296.72</v>
      </c>
      <c r="AN62" s="54">
        <f t="shared" si="15"/>
        <v>-896.7200000000003</v>
      </c>
      <c r="AO62" s="45">
        <f>+AL62</f>
        <v>3400</v>
      </c>
      <c r="AP62" s="46">
        <v>4279.43</v>
      </c>
      <c r="AQ62" s="54">
        <f t="shared" si="16"/>
        <v>-879.4300000000003</v>
      </c>
      <c r="AR62" s="45">
        <f>+AO62</f>
        <v>3400</v>
      </c>
      <c r="AS62" s="46">
        <v>4158.49</v>
      </c>
      <c r="AT62" s="54">
        <f t="shared" si="17"/>
        <v>-758.4899999999998</v>
      </c>
      <c r="AU62" s="45">
        <f>+AR62</f>
        <v>3400</v>
      </c>
      <c r="AV62" s="46">
        <v>4239.98</v>
      </c>
      <c r="AW62" s="54">
        <f t="shared" si="18"/>
        <v>-839.9799999999996</v>
      </c>
      <c r="AX62" s="25">
        <f>+F62+K62+N62+T62+W62+Z62+AF62+AI62+AL62+AO62+AR62+AU62</f>
        <v>40800</v>
      </c>
      <c r="AY62" s="2"/>
      <c r="AZ62" s="45">
        <f t="shared" si="31"/>
        <v>40800</v>
      </c>
      <c r="BA62" s="46">
        <f t="shared" si="32"/>
        <v>48492.78</v>
      </c>
      <c r="BB62" s="63">
        <f t="shared" si="19"/>
        <v>-7692.779999999999</v>
      </c>
      <c r="BC62" s="87">
        <f t="shared" si="24"/>
        <v>0.01684542526589382</v>
      </c>
      <c r="BD62" s="87">
        <f t="shared" si="25"/>
        <v>0.014082698397039742</v>
      </c>
      <c r="BE62" s="5">
        <f t="shared" si="21"/>
        <v>-0.18854852941176467</v>
      </c>
      <c r="BF62" s="6">
        <f t="shared" si="22"/>
        <v>1.1885485294117646</v>
      </c>
      <c r="BG62" s="2"/>
      <c r="BH62" s="2"/>
    </row>
    <row r="63" spans="1:60" s="59" customFormat="1" ht="12.75">
      <c r="A63" s="1" t="s">
        <v>70</v>
      </c>
      <c r="B63" s="1"/>
      <c r="C63" s="1"/>
      <c r="D63" s="1"/>
      <c r="E63" s="1"/>
      <c r="F63" s="42">
        <v>2800</v>
      </c>
      <c r="G63" s="43">
        <v>2800</v>
      </c>
      <c r="H63" s="44">
        <f t="shared" si="6"/>
        <v>0</v>
      </c>
      <c r="I63" s="43"/>
      <c r="J63" s="43"/>
      <c r="K63" s="45">
        <f>+F63</f>
        <v>2800</v>
      </c>
      <c r="L63" s="46">
        <v>2800</v>
      </c>
      <c r="M63" s="43">
        <f t="shared" si="7"/>
        <v>0</v>
      </c>
      <c r="N63" s="45">
        <f>+K63</f>
        <v>2800</v>
      </c>
      <c r="O63" s="46">
        <v>2800</v>
      </c>
      <c r="P63" s="44">
        <f t="shared" si="8"/>
        <v>0</v>
      </c>
      <c r="Q63" s="51">
        <f t="shared" si="27"/>
        <v>8400</v>
      </c>
      <c r="R63" s="52">
        <f t="shared" si="28"/>
        <v>8400</v>
      </c>
      <c r="S63" s="53">
        <f t="shared" si="9"/>
        <v>0</v>
      </c>
      <c r="T63" s="46">
        <f>+N63</f>
        <v>2800</v>
      </c>
      <c r="U63" s="46">
        <v>2800</v>
      </c>
      <c r="V63" s="54">
        <f t="shared" si="10"/>
        <v>0</v>
      </c>
      <c r="W63" s="45">
        <f>+T63</f>
        <v>2800</v>
      </c>
      <c r="X63" s="46">
        <v>2800</v>
      </c>
      <c r="Y63" s="54">
        <f t="shared" si="11"/>
        <v>0</v>
      </c>
      <c r="Z63" s="45">
        <f>+W63</f>
        <v>2800</v>
      </c>
      <c r="AA63" s="46">
        <v>2800</v>
      </c>
      <c r="AB63" s="54">
        <f t="shared" si="12"/>
        <v>0</v>
      </c>
      <c r="AC63" s="51">
        <f t="shared" si="29"/>
        <v>16800</v>
      </c>
      <c r="AD63" s="52">
        <f t="shared" si="30"/>
        <v>16800</v>
      </c>
      <c r="AE63" s="53">
        <f t="shared" si="20"/>
        <v>0</v>
      </c>
      <c r="AF63" s="45">
        <f>+Z63</f>
        <v>2800</v>
      </c>
      <c r="AG63" s="61">
        <v>2800</v>
      </c>
      <c r="AH63" s="54">
        <f t="shared" si="13"/>
        <v>0</v>
      </c>
      <c r="AI63" s="45">
        <f>+AF63</f>
        <v>2800</v>
      </c>
      <c r="AJ63" s="46">
        <v>2800</v>
      </c>
      <c r="AK63" s="54">
        <f t="shared" si="14"/>
        <v>0</v>
      </c>
      <c r="AL63" s="45">
        <f>+AI63</f>
        <v>2800</v>
      </c>
      <c r="AM63" s="46">
        <v>2800</v>
      </c>
      <c r="AN63" s="54">
        <f t="shared" si="15"/>
        <v>0</v>
      </c>
      <c r="AO63" s="45">
        <f>+AL63</f>
        <v>2800</v>
      </c>
      <c r="AP63" s="46">
        <v>2800</v>
      </c>
      <c r="AQ63" s="54">
        <f t="shared" si="16"/>
        <v>0</v>
      </c>
      <c r="AR63" s="45">
        <f>+AO63</f>
        <v>2800</v>
      </c>
      <c r="AS63" s="46">
        <v>2800</v>
      </c>
      <c r="AT63" s="54">
        <f t="shared" si="17"/>
        <v>0</v>
      </c>
      <c r="AU63" s="45">
        <f>+AR63</f>
        <v>2800</v>
      </c>
      <c r="AV63" s="46">
        <v>2800</v>
      </c>
      <c r="AW63" s="54">
        <f t="shared" si="18"/>
        <v>0</v>
      </c>
      <c r="AX63" s="25">
        <f>+F63+K63+N63+T63+W63+Z63+AF63+AI63+AL63+AO63+AR63+AU63</f>
        <v>33600</v>
      </c>
      <c r="AY63" s="2"/>
      <c r="AZ63" s="45">
        <f t="shared" si="31"/>
        <v>33600</v>
      </c>
      <c r="BA63" s="46">
        <f t="shared" si="32"/>
        <v>33600</v>
      </c>
      <c r="BB63" s="54">
        <f t="shared" si="19"/>
        <v>0</v>
      </c>
      <c r="BC63" s="87">
        <f t="shared" si="24"/>
        <v>0.01167197032081956</v>
      </c>
      <c r="BD63" s="87">
        <f t="shared" si="25"/>
        <v>0.011597516326973907</v>
      </c>
      <c r="BE63" s="5"/>
      <c r="BF63" s="6"/>
      <c r="BG63" s="2"/>
      <c r="BH63" s="2"/>
    </row>
    <row r="64" spans="6:56" ht="12.75">
      <c r="F64" s="42"/>
      <c r="G64" s="43"/>
      <c r="H64" s="44">
        <f t="shared" si="6"/>
        <v>0</v>
      </c>
      <c r="I64" s="43"/>
      <c r="J64" s="43"/>
      <c r="K64" s="45"/>
      <c r="L64" s="46"/>
      <c r="M64" s="43">
        <f t="shared" si="7"/>
        <v>0</v>
      </c>
      <c r="N64" s="45"/>
      <c r="O64" s="46"/>
      <c r="P64" s="44">
        <f t="shared" si="8"/>
        <v>0</v>
      </c>
      <c r="Q64" s="51">
        <f t="shared" si="27"/>
        <v>0</v>
      </c>
      <c r="R64" s="52">
        <f t="shared" si="28"/>
        <v>0</v>
      </c>
      <c r="S64" s="53">
        <f t="shared" si="9"/>
        <v>0</v>
      </c>
      <c r="T64" s="46"/>
      <c r="U64" s="46"/>
      <c r="V64" s="54">
        <f t="shared" si="10"/>
        <v>0</v>
      </c>
      <c r="W64" s="45"/>
      <c r="X64" s="46"/>
      <c r="Y64" s="54">
        <f t="shared" si="11"/>
        <v>0</v>
      </c>
      <c r="Z64" s="45"/>
      <c r="AA64" s="46"/>
      <c r="AB64" s="54">
        <f t="shared" si="12"/>
        <v>0</v>
      </c>
      <c r="AC64" s="51">
        <f t="shared" si="29"/>
        <v>0</v>
      </c>
      <c r="AD64" s="52">
        <f t="shared" si="30"/>
        <v>0</v>
      </c>
      <c r="AE64" s="53">
        <f t="shared" si="20"/>
        <v>0</v>
      </c>
      <c r="AF64" s="45"/>
      <c r="AG64" s="46"/>
      <c r="AH64" s="54">
        <f t="shared" si="13"/>
        <v>0</v>
      </c>
      <c r="AI64" s="45"/>
      <c r="AJ64" s="46"/>
      <c r="AK64" s="54">
        <f t="shared" si="14"/>
        <v>0</v>
      </c>
      <c r="AL64" s="45"/>
      <c r="AM64" s="46"/>
      <c r="AN64" s="54">
        <f t="shared" si="15"/>
        <v>0</v>
      </c>
      <c r="AO64" s="45"/>
      <c r="AP64" s="46"/>
      <c r="AQ64" s="54">
        <f t="shared" si="16"/>
        <v>0</v>
      </c>
      <c r="AR64" s="45"/>
      <c r="AS64" s="46"/>
      <c r="AT64" s="54">
        <f t="shared" si="17"/>
        <v>0</v>
      </c>
      <c r="AU64" s="45"/>
      <c r="AV64" s="46"/>
      <c r="AW64" s="54">
        <f t="shared" si="18"/>
        <v>0</v>
      </c>
      <c r="AX64" s="25"/>
      <c r="AZ64" s="45">
        <f t="shared" si="31"/>
        <v>0</v>
      </c>
      <c r="BA64" s="46">
        <f t="shared" si="32"/>
        <v>0</v>
      </c>
      <c r="BB64" s="54">
        <f t="shared" si="19"/>
        <v>0</v>
      </c>
      <c r="BC64" s="87"/>
      <c r="BD64" s="87"/>
    </row>
    <row r="65" spans="1:60" s="59" customFormat="1" ht="12.75">
      <c r="A65" s="1" t="s">
        <v>71</v>
      </c>
      <c r="B65" s="1"/>
      <c r="C65" s="1"/>
      <c r="D65" s="1"/>
      <c r="E65" s="1" t="s">
        <v>72</v>
      </c>
      <c r="F65" s="42">
        <v>863.6363636363636</v>
      </c>
      <c r="G65" s="43">
        <v>1281.09</v>
      </c>
      <c r="H65" s="44">
        <f t="shared" si="6"/>
        <v>-417.4536363636363</v>
      </c>
      <c r="I65" s="43"/>
      <c r="J65" s="43"/>
      <c r="K65" s="45">
        <f>+F65</f>
        <v>863.6363636363636</v>
      </c>
      <c r="L65" s="46">
        <v>1250.82</v>
      </c>
      <c r="M65" s="43">
        <f t="shared" si="7"/>
        <v>-387.1836363636363</v>
      </c>
      <c r="N65" s="45">
        <f>+K65</f>
        <v>863.6363636363636</v>
      </c>
      <c r="O65" s="46">
        <v>1992.88</v>
      </c>
      <c r="P65" s="44">
        <f t="shared" si="8"/>
        <v>-1129.2436363636366</v>
      </c>
      <c r="Q65" s="51">
        <f t="shared" si="27"/>
        <v>2590.909090909091</v>
      </c>
      <c r="R65" s="52">
        <f t="shared" si="28"/>
        <v>4524.79</v>
      </c>
      <c r="S65" s="53">
        <f t="shared" si="9"/>
        <v>-1933.880909090909</v>
      </c>
      <c r="T65" s="46">
        <f>+N65</f>
        <v>863.6363636363636</v>
      </c>
      <c r="U65" s="46">
        <v>1179.65</v>
      </c>
      <c r="V65" s="54">
        <f t="shared" si="10"/>
        <v>-316.01363636363646</v>
      </c>
      <c r="W65" s="45">
        <f>+T65</f>
        <v>863.6363636363636</v>
      </c>
      <c r="X65" s="46">
        <v>857.28</v>
      </c>
      <c r="Y65" s="54">
        <f t="shared" si="11"/>
        <v>6.356363636363653</v>
      </c>
      <c r="Z65" s="45">
        <f>+W65</f>
        <v>863.6363636363636</v>
      </c>
      <c r="AA65" s="46">
        <v>722.38</v>
      </c>
      <c r="AB65" s="54">
        <f t="shared" si="12"/>
        <v>141.25636363636363</v>
      </c>
      <c r="AC65" s="51">
        <f t="shared" si="29"/>
        <v>5181.818181818182</v>
      </c>
      <c r="AD65" s="52">
        <f t="shared" si="30"/>
        <v>7284.099999999999</v>
      </c>
      <c r="AE65" s="53">
        <f t="shared" si="20"/>
        <v>-2102.2818181818175</v>
      </c>
      <c r="AF65" s="45">
        <f>+Z65</f>
        <v>863.6363636363636</v>
      </c>
      <c r="AG65" s="46">
        <v>464.34</v>
      </c>
      <c r="AH65" s="54">
        <f t="shared" si="13"/>
        <v>399.29636363636365</v>
      </c>
      <c r="AI65" s="45">
        <f>+AF65</f>
        <v>863.6363636363636</v>
      </c>
      <c r="AJ65" s="46">
        <v>451.73</v>
      </c>
      <c r="AK65" s="54">
        <f t="shared" si="14"/>
        <v>411.9063636363636</v>
      </c>
      <c r="AL65" s="45">
        <f>+AI65</f>
        <v>863.6363636363636</v>
      </c>
      <c r="AM65" s="46">
        <f>217.7+76.5+100.76+208.26</f>
        <v>603.22</v>
      </c>
      <c r="AN65" s="54">
        <f t="shared" si="15"/>
        <v>260.4163636363636</v>
      </c>
      <c r="AO65" s="45">
        <f>+AL65</f>
        <v>863.6363636363636</v>
      </c>
      <c r="AP65" s="46">
        <f>11.17+91.84+72.86+98.74+205.52</f>
        <v>480.13</v>
      </c>
      <c r="AQ65" s="54">
        <f t="shared" si="16"/>
        <v>383.50636363636363</v>
      </c>
      <c r="AR65" s="45">
        <f>+AO65</f>
        <v>863.6363636363636</v>
      </c>
      <c r="AS65" s="46">
        <v>1316.97</v>
      </c>
      <c r="AT65" s="54">
        <f t="shared" si="17"/>
        <v>-453.3336363636364</v>
      </c>
      <c r="AU65" s="45">
        <f>+AR65</f>
        <v>863.6363636363636</v>
      </c>
      <c r="AV65" s="46">
        <v>322.74</v>
      </c>
      <c r="AW65" s="54">
        <f t="shared" si="18"/>
        <v>540.8963636363636</v>
      </c>
      <c r="AX65" s="25">
        <f>+F65+K65+N65+T65+W65+Z65+AF65+AI65+AL65+AO65+AR65+AU65</f>
        <v>10363.636363636366</v>
      </c>
      <c r="AY65" s="2"/>
      <c r="AZ65" s="45">
        <f t="shared" si="31"/>
        <v>10363.636363636366</v>
      </c>
      <c r="BA65" s="46">
        <f t="shared" si="32"/>
        <v>10923.229999999998</v>
      </c>
      <c r="BB65" s="54">
        <f t="shared" si="19"/>
        <v>-559.593636363632</v>
      </c>
      <c r="BC65" s="87">
        <f t="shared" si="24"/>
        <v>0.003794512391889459</v>
      </c>
      <c r="BD65" s="87">
        <f t="shared" si="25"/>
        <v>0.003577156009943251</v>
      </c>
      <c r="BE65" s="5">
        <f t="shared" si="21"/>
        <v>-0.05399587719298202</v>
      </c>
      <c r="BF65" s="6">
        <f t="shared" si="22"/>
        <v>1.053995877192982</v>
      </c>
      <c r="BG65" s="2"/>
      <c r="BH65" s="2"/>
    </row>
    <row r="66" spans="1:60" s="59" customFormat="1" ht="12.75">
      <c r="A66" s="1" t="s">
        <v>95</v>
      </c>
      <c r="B66" s="1"/>
      <c r="C66" s="1"/>
      <c r="D66" s="1"/>
      <c r="E66" s="1"/>
      <c r="F66" s="42">
        <f>878.62-80</f>
        <v>798.62</v>
      </c>
      <c r="G66" s="43">
        <v>883.06</v>
      </c>
      <c r="H66" s="44">
        <f t="shared" si="6"/>
        <v>-84.43999999999994</v>
      </c>
      <c r="I66" s="43"/>
      <c r="J66" s="43"/>
      <c r="K66" s="45">
        <f>+F66</f>
        <v>798.62</v>
      </c>
      <c r="L66" s="46">
        <v>883.06</v>
      </c>
      <c r="M66" s="43">
        <f t="shared" si="7"/>
        <v>-84.43999999999994</v>
      </c>
      <c r="N66" s="45">
        <f>+K66</f>
        <v>798.62</v>
      </c>
      <c r="O66" s="46">
        <v>878.62</v>
      </c>
      <c r="P66" s="44">
        <f t="shared" si="8"/>
        <v>-80</v>
      </c>
      <c r="Q66" s="51">
        <f t="shared" si="27"/>
        <v>2395.86</v>
      </c>
      <c r="R66" s="52">
        <f t="shared" si="28"/>
        <v>2644.74</v>
      </c>
      <c r="S66" s="53">
        <f t="shared" si="9"/>
        <v>-248.87999999999965</v>
      </c>
      <c r="T66" s="46">
        <f>+N66</f>
        <v>798.62</v>
      </c>
      <c r="U66" s="46">
        <v>880.1</v>
      </c>
      <c r="V66" s="54">
        <f t="shared" si="10"/>
        <v>-81.48000000000002</v>
      </c>
      <c r="W66" s="45">
        <f>+T66</f>
        <v>798.62</v>
      </c>
      <c r="X66" s="46">
        <v>885.52</v>
      </c>
      <c r="Y66" s="54">
        <f t="shared" si="11"/>
        <v>-86.89999999999998</v>
      </c>
      <c r="Z66" s="45">
        <f>+W66</f>
        <v>798.62</v>
      </c>
      <c r="AA66" s="46">
        <v>880.59</v>
      </c>
      <c r="AB66" s="54">
        <f t="shared" si="12"/>
        <v>-81.97000000000003</v>
      </c>
      <c r="AC66" s="51">
        <f t="shared" si="29"/>
        <v>4791.72</v>
      </c>
      <c r="AD66" s="52">
        <f t="shared" si="30"/>
        <v>5290.95</v>
      </c>
      <c r="AE66" s="53">
        <f t="shared" si="20"/>
        <v>-499.22999999999956</v>
      </c>
      <c r="AF66" s="45">
        <f>+Z66</f>
        <v>798.62</v>
      </c>
      <c r="AG66" s="46">
        <v>887.49</v>
      </c>
      <c r="AH66" s="54">
        <f t="shared" si="13"/>
        <v>-88.87</v>
      </c>
      <c r="AI66" s="45">
        <f>+AF66</f>
        <v>798.62</v>
      </c>
      <c r="AJ66" s="46">
        <v>882.07</v>
      </c>
      <c r="AK66" s="54">
        <f t="shared" si="14"/>
        <v>-83.45000000000005</v>
      </c>
      <c r="AL66" s="45">
        <f>+AI66</f>
        <v>798.62</v>
      </c>
      <c r="AM66" s="46">
        <v>910.6</v>
      </c>
      <c r="AN66" s="54">
        <f t="shared" si="15"/>
        <v>-111.98000000000002</v>
      </c>
      <c r="AO66" s="45">
        <f>+AL66</f>
        <v>798.62</v>
      </c>
      <c r="AP66" s="46">
        <v>913.06</v>
      </c>
      <c r="AQ66" s="54">
        <f t="shared" si="16"/>
        <v>-114.43999999999994</v>
      </c>
      <c r="AR66" s="45">
        <f>+AO66</f>
        <v>798.62</v>
      </c>
      <c r="AS66" s="46">
        <v>915.53</v>
      </c>
      <c r="AT66" s="54">
        <f t="shared" si="17"/>
        <v>-116.90999999999997</v>
      </c>
      <c r="AU66" s="45">
        <f>+AR66</f>
        <v>798.62</v>
      </c>
      <c r="AV66" s="46">
        <v>877.65</v>
      </c>
      <c r="AW66" s="54">
        <f t="shared" si="18"/>
        <v>-79.02999999999997</v>
      </c>
      <c r="AX66" s="25">
        <f>+F66+K66+N66+T66+W66+Z66+AF66+AI66+AL66+AO66+AR66+AU66</f>
        <v>9583.44</v>
      </c>
      <c r="AY66" s="2"/>
      <c r="AZ66" s="45">
        <f t="shared" si="31"/>
        <v>9583.44</v>
      </c>
      <c r="BA66" s="46">
        <f t="shared" si="32"/>
        <v>10677.35</v>
      </c>
      <c r="BB66" s="54">
        <f t="shared" si="19"/>
        <v>-1093.9099999999999</v>
      </c>
      <c r="BC66" s="87">
        <f t="shared" si="24"/>
        <v>0.003709098580506034</v>
      </c>
      <c r="BD66" s="87">
        <f t="shared" si="25"/>
        <v>0.0033078601746599646</v>
      </c>
      <c r="BE66" s="5"/>
      <c r="BF66" s="6"/>
      <c r="BG66" s="2"/>
      <c r="BH66" s="2"/>
    </row>
    <row r="67" spans="1:60" s="59" customFormat="1" ht="12.75">
      <c r="A67" s="1" t="s">
        <v>73</v>
      </c>
      <c r="B67" s="1"/>
      <c r="C67" s="1"/>
      <c r="D67" s="1">
        <f>+G67+G69+G71</f>
        <v>27903.67</v>
      </c>
      <c r="E67" s="1" t="s">
        <v>74</v>
      </c>
      <c r="F67" s="42">
        <f>127000/11</f>
        <v>11545.454545454546</v>
      </c>
      <c r="G67" s="43">
        <v>11853.15</v>
      </c>
      <c r="H67" s="44">
        <f t="shared" si="6"/>
        <v>-307.6954545454537</v>
      </c>
      <c r="I67" s="43"/>
      <c r="J67" s="43"/>
      <c r="K67" s="45">
        <f>+F67</f>
        <v>11545.454545454546</v>
      </c>
      <c r="L67" s="46">
        <v>11853.15</v>
      </c>
      <c r="M67" s="43">
        <f t="shared" si="7"/>
        <v>-307.6954545454537</v>
      </c>
      <c r="N67" s="45">
        <f>+K67</f>
        <v>11545.454545454546</v>
      </c>
      <c r="O67" s="46">
        <v>11853.15</v>
      </c>
      <c r="P67" s="44">
        <f t="shared" si="8"/>
        <v>-307.6954545454537</v>
      </c>
      <c r="Q67" s="51">
        <f t="shared" si="27"/>
        <v>34636.36363636364</v>
      </c>
      <c r="R67" s="52">
        <f t="shared" si="28"/>
        <v>35559.45</v>
      </c>
      <c r="S67" s="53">
        <f t="shared" si="9"/>
        <v>-923.0863636363574</v>
      </c>
      <c r="T67" s="46">
        <f>+N67</f>
        <v>11545.454545454546</v>
      </c>
      <c r="U67" s="46">
        <v>11435.65</v>
      </c>
      <c r="V67" s="54">
        <f t="shared" si="10"/>
        <v>109.80454545454631</v>
      </c>
      <c r="W67" s="45">
        <f>+T67</f>
        <v>11545.454545454546</v>
      </c>
      <c r="X67" s="46">
        <v>11435.65</v>
      </c>
      <c r="Y67" s="54">
        <f t="shared" si="11"/>
        <v>109.80454545454631</v>
      </c>
      <c r="Z67" s="45">
        <f>+W67</f>
        <v>11545.454545454546</v>
      </c>
      <c r="AA67" s="46">
        <v>11435.65</v>
      </c>
      <c r="AB67" s="54">
        <f t="shared" si="12"/>
        <v>109.80454545454631</v>
      </c>
      <c r="AC67" s="51">
        <f t="shared" si="29"/>
        <v>69272.72727272728</v>
      </c>
      <c r="AD67" s="52">
        <f t="shared" si="30"/>
        <v>69866.4</v>
      </c>
      <c r="AE67" s="53">
        <f t="shared" si="20"/>
        <v>-593.6727272727148</v>
      </c>
      <c r="AF67" s="45">
        <f>+Z67</f>
        <v>11545.454545454546</v>
      </c>
      <c r="AG67" s="46">
        <v>11435.65</v>
      </c>
      <c r="AH67" s="54">
        <f t="shared" si="13"/>
        <v>109.80454545454631</v>
      </c>
      <c r="AI67" s="45">
        <f>+AF67</f>
        <v>11545.454545454546</v>
      </c>
      <c r="AJ67" s="46">
        <v>11435.65</v>
      </c>
      <c r="AK67" s="54">
        <f t="shared" si="14"/>
        <v>109.80454545454631</v>
      </c>
      <c r="AL67" s="45">
        <f>+AI67</f>
        <v>11545.454545454546</v>
      </c>
      <c r="AM67" s="46">
        <v>11435.65</v>
      </c>
      <c r="AN67" s="54">
        <f t="shared" si="15"/>
        <v>109.80454545454631</v>
      </c>
      <c r="AO67" s="45">
        <f>+AL67</f>
        <v>11545.454545454546</v>
      </c>
      <c r="AP67" s="46">
        <v>9364.4</v>
      </c>
      <c r="AQ67" s="54">
        <f t="shared" si="16"/>
        <v>2181.0545454545463</v>
      </c>
      <c r="AR67" s="45">
        <f>+AO67</f>
        <v>11545.454545454546</v>
      </c>
      <c r="AS67" s="46">
        <v>5739.4</v>
      </c>
      <c r="AT67" s="54">
        <f t="shared" si="17"/>
        <v>5806.054545454546</v>
      </c>
      <c r="AU67" s="45">
        <f>+AR67</f>
        <v>11545.454545454546</v>
      </c>
      <c r="AV67" s="46">
        <v>5739.34</v>
      </c>
      <c r="AW67" s="54">
        <f t="shared" si="18"/>
        <v>5806.114545454546</v>
      </c>
      <c r="AX67" s="25">
        <f>+F67+K67+N67+T67+W67+Z67+AF67+AI67+AL67+AO67+AR67+AU67</f>
        <v>138545.45454545456</v>
      </c>
      <c r="AY67" s="2"/>
      <c r="AZ67" s="45">
        <f t="shared" si="31"/>
        <v>138545.45454545456</v>
      </c>
      <c r="BA67" s="46">
        <f t="shared" si="32"/>
        <v>125016.48999999996</v>
      </c>
      <c r="BB67" s="54">
        <f t="shared" si="19"/>
        <v>13528.964545454597</v>
      </c>
      <c r="BC67" s="87">
        <f t="shared" si="24"/>
        <v>0.043428236931340326</v>
      </c>
      <c r="BD67" s="87">
        <f t="shared" si="25"/>
        <v>0.04782092771187293</v>
      </c>
      <c r="BE67" s="5">
        <f t="shared" si="21"/>
        <v>0.09765000656168016</v>
      </c>
      <c r="BF67" s="6">
        <f t="shared" si="22"/>
        <v>0.9023499934383199</v>
      </c>
      <c r="BG67" s="2"/>
      <c r="BH67" s="2"/>
    </row>
    <row r="68" spans="6:56" ht="12.75">
      <c r="F68" s="42"/>
      <c r="G68" s="43"/>
      <c r="H68" s="44">
        <f t="shared" si="6"/>
        <v>0</v>
      </c>
      <c r="I68" s="43"/>
      <c r="J68" s="43"/>
      <c r="K68" s="45"/>
      <c r="L68" s="46"/>
      <c r="M68" s="43">
        <f t="shared" si="7"/>
        <v>0</v>
      </c>
      <c r="N68" s="45"/>
      <c r="O68" s="46"/>
      <c r="P68" s="44">
        <f t="shared" si="8"/>
        <v>0</v>
      </c>
      <c r="Q68" s="51">
        <f t="shared" si="27"/>
        <v>0</v>
      </c>
      <c r="R68" s="52">
        <f t="shared" si="28"/>
        <v>0</v>
      </c>
      <c r="S68" s="53">
        <f t="shared" si="9"/>
        <v>0</v>
      </c>
      <c r="T68" s="46"/>
      <c r="U68" s="46"/>
      <c r="V68" s="54">
        <f t="shared" si="10"/>
        <v>0</v>
      </c>
      <c r="W68" s="45"/>
      <c r="X68" s="46"/>
      <c r="Y68" s="54">
        <f t="shared" si="11"/>
        <v>0</v>
      </c>
      <c r="Z68" s="45"/>
      <c r="AA68" s="46"/>
      <c r="AB68" s="54">
        <f t="shared" si="12"/>
        <v>0</v>
      </c>
      <c r="AC68" s="51">
        <f t="shared" si="29"/>
        <v>0</v>
      </c>
      <c r="AD68" s="52">
        <f t="shared" si="30"/>
        <v>0</v>
      </c>
      <c r="AE68" s="53">
        <f t="shared" si="20"/>
        <v>0</v>
      </c>
      <c r="AF68" s="45"/>
      <c r="AG68" s="46"/>
      <c r="AH68" s="54">
        <f t="shared" si="13"/>
        <v>0</v>
      </c>
      <c r="AI68" s="45"/>
      <c r="AJ68" s="46"/>
      <c r="AK68" s="54">
        <f t="shared" si="14"/>
        <v>0</v>
      </c>
      <c r="AL68" s="45"/>
      <c r="AM68" s="46"/>
      <c r="AN68" s="54">
        <f t="shared" si="15"/>
        <v>0</v>
      </c>
      <c r="AO68" s="45"/>
      <c r="AP68" s="46"/>
      <c r="AQ68" s="54">
        <f t="shared" si="16"/>
        <v>0</v>
      </c>
      <c r="AR68" s="45"/>
      <c r="AS68" s="46"/>
      <c r="AT68" s="54">
        <f t="shared" si="17"/>
        <v>0</v>
      </c>
      <c r="AU68" s="45"/>
      <c r="AV68" s="46"/>
      <c r="AW68" s="54">
        <f t="shared" si="18"/>
        <v>0</v>
      </c>
      <c r="AX68" s="25"/>
      <c r="AZ68" s="45">
        <f t="shared" si="31"/>
        <v>0</v>
      </c>
      <c r="BA68" s="46">
        <f t="shared" si="32"/>
        <v>0</v>
      </c>
      <c r="BB68" s="54">
        <f t="shared" si="19"/>
        <v>0</v>
      </c>
      <c r="BC68" s="87"/>
      <c r="BD68" s="87"/>
    </row>
    <row r="69" spans="1:60" s="59" customFormat="1" ht="12.75">
      <c r="A69" s="1" t="s">
        <v>75</v>
      </c>
      <c r="B69" s="1"/>
      <c r="C69" s="1"/>
      <c r="D69" s="1"/>
      <c r="E69" s="1" t="s">
        <v>76</v>
      </c>
      <c r="F69" s="42">
        <f>87000/12</f>
        <v>7250</v>
      </c>
      <c r="G69" s="43">
        <v>6780.46</v>
      </c>
      <c r="H69" s="44">
        <f t="shared" si="6"/>
        <v>469.53999999999996</v>
      </c>
      <c r="I69" s="43"/>
      <c r="J69" s="43"/>
      <c r="K69" s="45">
        <f>+F69</f>
        <v>7250</v>
      </c>
      <c r="L69" s="46">
        <v>6780.46</v>
      </c>
      <c r="M69" s="43">
        <f t="shared" si="7"/>
        <v>469.53999999999996</v>
      </c>
      <c r="N69" s="45">
        <f>+K69</f>
        <v>7250</v>
      </c>
      <c r="O69" s="46">
        <v>6780.46</v>
      </c>
      <c r="P69" s="44">
        <f t="shared" si="8"/>
        <v>469.53999999999996</v>
      </c>
      <c r="Q69" s="51">
        <f t="shared" si="27"/>
        <v>21750</v>
      </c>
      <c r="R69" s="52">
        <f t="shared" si="28"/>
        <v>20341.38</v>
      </c>
      <c r="S69" s="53">
        <f t="shared" si="9"/>
        <v>1408.619999999999</v>
      </c>
      <c r="T69" s="46">
        <f>+N69</f>
        <v>7250</v>
      </c>
      <c r="U69" s="46">
        <v>6780.46</v>
      </c>
      <c r="V69" s="54">
        <f t="shared" si="10"/>
        <v>469.53999999999996</v>
      </c>
      <c r="W69" s="45">
        <f>+T69</f>
        <v>7250</v>
      </c>
      <c r="X69" s="46">
        <v>6780.46</v>
      </c>
      <c r="Y69" s="54">
        <f t="shared" si="11"/>
        <v>469.53999999999996</v>
      </c>
      <c r="Z69" s="45">
        <f>+W69</f>
        <v>7250</v>
      </c>
      <c r="AA69" s="46">
        <v>6780.45</v>
      </c>
      <c r="AB69" s="54">
        <f t="shared" si="12"/>
        <v>469.5500000000002</v>
      </c>
      <c r="AC69" s="51">
        <f t="shared" si="29"/>
        <v>43500</v>
      </c>
      <c r="AD69" s="52">
        <f t="shared" si="30"/>
        <v>40682.75</v>
      </c>
      <c r="AE69" s="53">
        <f t="shared" si="20"/>
        <v>2817.25</v>
      </c>
      <c r="AF69" s="45">
        <f>+Z69</f>
        <v>7250</v>
      </c>
      <c r="AG69" s="46">
        <v>37349.73</v>
      </c>
      <c r="AH69" s="54">
        <f t="shared" si="13"/>
        <v>-30099.730000000003</v>
      </c>
      <c r="AI69" s="45">
        <f>+AF69</f>
        <v>7250</v>
      </c>
      <c r="AJ69" s="46">
        <v>11797.56</v>
      </c>
      <c r="AK69" s="54">
        <f t="shared" si="14"/>
        <v>-4547.5599999999995</v>
      </c>
      <c r="AL69" s="45">
        <f>+AI69</f>
        <v>7250</v>
      </c>
      <c r="AM69" s="46">
        <v>11797.56</v>
      </c>
      <c r="AN69" s="54">
        <f t="shared" si="15"/>
        <v>-4547.5599999999995</v>
      </c>
      <c r="AO69" s="45">
        <f>+AL69</f>
        <v>7250</v>
      </c>
      <c r="AP69" s="46">
        <v>11697.56</v>
      </c>
      <c r="AQ69" s="54">
        <f t="shared" si="16"/>
        <v>-4447.5599999999995</v>
      </c>
      <c r="AR69" s="45">
        <f>+AO69</f>
        <v>7250</v>
      </c>
      <c r="AS69" s="46">
        <v>11697.56</v>
      </c>
      <c r="AT69" s="54">
        <f t="shared" si="17"/>
        <v>-4447.5599999999995</v>
      </c>
      <c r="AU69" s="45">
        <f>+AR69</f>
        <v>7250</v>
      </c>
      <c r="AV69" s="46">
        <v>11697.56</v>
      </c>
      <c r="AW69" s="54">
        <f t="shared" si="18"/>
        <v>-4447.5599999999995</v>
      </c>
      <c r="AX69" s="25">
        <f>+F69+K69+N69+T69+W69+Z69+AF69+AI69+AL69+AO69+AR69+AU69</f>
        <v>87000</v>
      </c>
      <c r="AY69" s="2"/>
      <c r="AZ69" s="45">
        <f t="shared" si="31"/>
        <v>87000</v>
      </c>
      <c r="BA69" s="46">
        <f t="shared" si="32"/>
        <v>136720.28</v>
      </c>
      <c r="BB69" s="63">
        <f t="shared" si="19"/>
        <v>-49720.28</v>
      </c>
      <c r="BC69" s="87">
        <f t="shared" si="24"/>
        <v>0.047493900309944645</v>
      </c>
      <c r="BD69" s="87">
        <f t="shared" si="25"/>
        <v>0.030029283346628865</v>
      </c>
      <c r="BE69" s="5">
        <f t="shared" si="21"/>
        <v>-0.5714974712643678</v>
      </c>
      <c r="BF69" s="6">
        <f t="shared" si="22"/>
        <v>1.571497471264368</v>
      </c>
      <c r="BG69" s="2"/>
      <c r="BH69" s="2"/>
    </row>
    <row r="70" spans="1:60" s="59" customFormat="1" ht="12.75">
      <c r="A70" s="1" t="s">
        <v>77</v>
      </c>
      <c r="B70" s="1"/>
      <c r="C70" s="1"/>
      <c r="D70" s="1"/>
      <c r="E70" s="1"/>
      <c r="F70" s="42"/>
      <c r="G70" s="43"/>
      <c r="H70" s="44">
        <f t="shared" si="6"/>
        <v>0</v>
      </c>
      <c r="I70" s="43"/>
      <c r="J70" s="43"/>
      <c r="K70" s="45"/>
      <c r="L70" s="46"/>
      <c r="M70" s="43">
        <f t="shared" si="7"/>
        <v>0</v>
      </c>
      <c r="N70" s="45"/>
      <c r="O70" s="46"/>
      <c r="P70" s="44">
        <f t="shared" si="8"/>
        <v>0</v>
      </c>
      <c r="Q70" s="51">
        <f t="shared" si="27"/>
        <v>0</v>
      </c>
      <c r="R70" s="52">
        <f t="shared" si="28"/>
        <v>0</v>
      </c>
      <c r="S70" s="53">
        <f t="shared" si="9"/>
        <v>0</v>
      </c>
      <c r="T70" s="46"/>
      <c r="U70" s="46"/>
      <c r="V70" s="54">
        <f t="shared" si="10"/>
        <v>0</v>
      </c>
      <c r="W70" s="45"/>
      <c r="X70" s="46"/>
      <c r="Y70" s="54">
        <f t="shared" si="11"/>
        <v>0</v>
      </c>
      <c r="Z70" s="45"/>
      <c r="AA70" s="46"/>
      <c r="AB70" s="54">
        <f t="shared" si="12"/>
        <v>0</v>
      </c>
      <c r="AC70" s="51">
        <f t="shared" si="29"/>
        <v>0</v>
      </c>
      <c r="AD70" s="52">
        <f t="shared" si="30"/>
        <v>0</v>
      </c>
      <c r="AE70" s="53">
        <f t="shared" si="20"/>
        <v>0</v>
      </c>
      <c r="AF70" s="45"/>
      <c r="AG70" s="46"/>
      <c r="AH70" s="54">
        <f t="shared" si="13"/>
        <v>0</v>
      </c>
      <c r="AI70" s="45"/>
      <c r="AJ70" s="46"/>
      <c r="AK70" s="54">
        <f t="shared" si="14"/>
        <v>0</v>
      </c>
      <c r="AL70" s="45"/>
      <c r="AM70" s="46"/>
      <c r="AN70" s="54">
        <f t="shared" si="15"/>
        <v>0</v>
      </c>
      <c r="AO70" s="45"/>
      <c r="AP70" s="46"/>
      <c r="AQ70" s="54">
        <f t="shared" si="16"/>
        <v>0</v>
      </c>
      <c r="AR70" s="45"/>
      <c r="AS70" s="46">
        <f>-11.02-4</f>
        <v>-15.02</v>
      </c>
      <c r="AT70" s="54">
        <f t="shared" si="17"/>
        <v>15.02</v>
      </c>
      <c r="AU70" s="45"/>
      <c r="AV70" s="46">
        <f>9965.35+204.3</f>
        <v>10169.65</v>
      </c>
      <c r="AW70" s="54">
        <f t="shared" si="18"/>
        <v>-10169.65</v>
      </c>
      <c r="AX70" s="25"/>
      <c r="AY70" s="2"/>
      <c r="AZ70" s="45">
        <f t="shared" si="31"/>
        <v>0</v>
      </c>
      <c r="BA70" s="46">
        <f t="shared" si="32"/>
        <v>10154.63</v>
      </c>
      <c r="BB70" s="54">
        <f t="shared" si="19"/>
        <v>-10154.63</v>
      </c>
      <c r="BC70" s="87">
        <f t="shared" si="24"/>
        <v>0.003527516070800712</v>
      </c>
      <c r="BD70" s="87">
        <f t="shared" si="25"/>
        <v>0</v>
      </c>
      <c r="BE70" s="5"/>
      <c r="BF70" s="6"/>
      <c r="BG70" s="2"/>
      <c r="BH70" s="2"/>
    </row>
    <row r="71" spans="1:60" s="59" customFormat="1" ht="12.75">
      <c r="A71" s="1" t="s">
        <v>78</v>
      </c>
      <c r="B71" s="1"/>
      <c r="C71" s="1"/>
      <c r="D71" s="1"/>
      <c r="E71" s="1" t="s">
        <v>79</v>
      </c>
      <c r="F71" s="42">
        <f>100000/11</f>
        <v>9090.90909090909</v>
      </c>
      <c r="G71" s="43">
        <v>9270.06</v>
      </c>
      <c r="H71" s="44">
        <f t="shared" si="6"/>
        <v>-179.1509090909094</v>
      </c>
      <c r="I71" s="43"/>
      <c r="J71" s="43"/>
      <c r="K71" s="45">
        <f>+F71</f>
        <v>9090.90909090909</v>
      </c>
      <c r="L71" s="46">
        <v>9270.06</v>
      </c>
      <c r="M71" s="43">
        <f t="shared" si="7"/>
        <v>-179.1509090909094</v>
      </c>
      <c r="N71" s="45">
        <f>+K71</f>
        <v>9090.90909090909</v>
      </c>
      <c r="O71" s="46">
        <v>9270.06</v>
      </c>
      <c r="P71" s="44">
        <f t="shared" si="8"/>
        <v>-179.1509090909094</v>
      </c>
      <c r="Q71" s="51">
        <f t="shared" si="27"/>
        <v>27272.727272727272</v>
      </c>
      <c r="R71" s="52">
        <f t="shared" si="28"/>
        <v>27810.18</v>
      </c>
      <c r="S71" s="53">
        <f t="shared" si="9"/>
        <v>-537.4527272727282</v>
      </c>
      <c r="T71" s="46">
        <f>+N71</f>
        <v>9090.90909090909</v>
      </c>
      <c r="U71" s="46">
        <v>9269.85</v>
      </c>
      <c r="V71" s="54">
        <f t="shared" si="10"/>
        <v>-178.94090909091028</v>
      </c>
      <c r="W71" s="45">
        <f>+T71</f>
        <v>9090.90909090909</v>
      </c>
      <c r="X71" s="46">
        <v>9090.18</v>
      </c>
      <c r="Y71" s="54">
        <f t="shared" si="11"/>
        <v>0.7290909090897912</v>
      </c>
      <c r="Z71" s="45">
        <f>+W71</f>
        <v>9090.90909090909</v>
      </c>
      <c r="AA71" s="46">
        <v>8946.03</v>
      </c>
      <c r="AB71" s="54">
        <f t="shared" si="12"/>
        <v>144.87909090908943</v>
      </c>
      <c r="AC71" s="51">
        <f t="shared" si="29"/>
        <v>54545.45454545454</v>
      </c>
      <c r="AD71" s="52">
        <f t="shared" si="30"/>
        <v>55116.23999999999</v>
      </c>
      <c r="AE71" s="53">
        <f t="shared" si="20"/>
        <v>-570.7854545454538</v>
      </c>
      <c r="AF71" s="45">
        <f>+Z71</f>
        <v>9090.90909090909</v>
      </c>
      <c r="AG71" s="46">
        <v>8555.33</v>
      </c>
      <c r="AH71" s="54">
        <f t="shared" si="13"/>
        <v>535.5790909090902</v>
      </c>
      <c r="AI71" s="45">
        <f>+AF71</f>
        <v>9090.90909090909</v>
      </c>
      <c r="AJ71" s="46">
        <v>8292.38</v>
      </c>
      <c r="AK71" s="54">
        <f t="shared" si="14"/>
        <v>798.5290909090909</v>
      </c>
      <c r="AL71" s="45">
        <f>+AI71</f>
        <v>9090.90909090909</v>
      </c>
      <c r="AM71" s="46">
        <v>8037.69</v>
      </c>
      <c r="AN71" s="54">
        <f t="shared" si="15"/>
        <v>1053.2190909090905</v>
      </c>
      <c r="AO71" s="45">
        <f>+AL71</f>
        <v>9090.90909090909</v>
      </c>
      <c r="AP71" s="46">
        <v>7591.68</v>
      </c>
      <c r="AQ71" s="54">
        <f t="shared" si="16"/>
        <v>1499.2290909090898</v>
      </c>
      <c r="AR71" s="45">
        <f>+AO71</f>
        <v>9090.90909090909</v>
      </c>
      <c r="AS71" s="46">
        <v>7486.76</v>
      </c>
      <c r="AT71" s="54">
        <f t="shared" si="17"/>
        <v>1604.1490909090899</v>
      </c>
      <c r="AU71" s="45">
        <f>+AR71</f>
        <v>9090.90909090909</v>
      </c>
      <c r="AV71" s="46">
        <v>7468.21</v>
      </c>
      <c r="AW71" s="54">
        <f t="shared" si="18"/>
        <v>1622.69909090909</v>
      </c>
      <c r="AX71" s="25">
        <f>+F71+K71+N71+T71+W71+Z71+AF71+AI71+AL71+AO71+AR71+AU71</f>
        <v>109090.90909090907</v>
      </c>
      <c r="AY71" s="2"/>
      <c r="AZ71" s="45">
        <f t="shared" si="31"/>
        <v>109090.90909090907</v>
      </c>
      <c r="BA71" s="46">
        <f t="shared" si="32"/>
        <v>102548.29000000001</v>
      </c>
      <c r="BB71" s="54">
        <f t="shared" si="19"/>
        <v>6542.619090909066</v>
      </c>
      <c r="BC71" s="87">
        <f t="shared" si="24"/>
        <v>0.03562323206341659</v>
      </c>
      <c r="BD71" s="87">
        <f t="shared" si="25"/>
        <v>0.037654273788876313</v>
      </c>
      <c r="BE71" s="5">
        <f t="shared" si="21"/>
        <v>0.05997400833333311</v>
      </c>
      <c r="BF71" s="6">
        <f t="shared" si="22"/>
        <v>0.9400259916666669</v>
      </c>
      <c r="BG71" s="2"/>
      <c r="BH71" s="2"/>
    </row>
    <row r="72" spans="6:56" ht="12.75">
      <c r="F72" s="42"/>
      <c r="G72" s="43"/>
      <c r="H72" s="44">
        <f t="shared" si="6"/>
        <v>0</v>
      </c>
      <c r="I72" s="43"/>
      <c r="J72" s="43"/>
      <c r="K72" s="45"/>
      <c r="L72" s="46"/>
      <c r="M72" s="43">
        <f t="shared" si="7"/>
        <v>0</v>
      </c>
      <c r="N72" s="45"/>
      <c r="O72" s="46"/>
      <c r="P72" s="44">
        <f t="shared" si="8"/>
        <v>0</v>
      </c>
      <c r="Q72" s="51">
        <f aca="true" t="shared" si="34" ref="Q72:Q78">+F72+K72+N72</f>
        <v>0</v>
      </c>
      <c r="R72" s="52">
        <f aca="true" t="shared" si="35" ref="R72:R78">+G72+L72+O72</f>
        <v>0</v>
      </c>
      <c r="S72" s="53">
        <f t="shared" si="9"/>
        <v>0</v>
      </c>
      <c r="T72" s="46"/>
      <c r="U72" s="46"/>
      <c r="V72" s="54">
        <f t="shared" si="10"/>
        <v>0</v>
      </c>
      <c r="W72" s="45"/>
      <c r="X72" s="46"/>
      <c r="Y72" s="54">
        <f t="shared" si="11"/>
        <v>0</v>
      </c>
      <c r="Z72" s="45"/>
      <c r="AA72" s="46"/>
      <c r="AB72" s="54">
        <f t="shared" si="12"/>
        <v>0</v>
      </c>
      <c r="AC72" s="51">
        <f aca="true" t="shared" si="36" ref="AC72:AC78">+Z72+W72+T72+F72+K72+N72</f>
        <v>0</v>
      </c>
      <c r="AD72" s="52">
        <f aca="true" t="shared" si="37" ref="AD72:AD78">+AA72+X72+U72+G72+L72+O72</f>
        <v>0</v>
      </c>
      <c r="AE72" s="53">
        <f t="shared" si="20"/>
        <v>0</v>
      </c>
      <c r="AF72" s="45"/>
      <c r="AG72" s="46"/>
      <c r="AH72" s="54">
        <f t="shared" si="13"/>
        <v>0</v>
      </c>
      <c r="AI72" s="45"/>
      <c r="AJ72" s="46"/>
      <c r="AK72" s="54">
        <f t="shared" si="14"/>
        <v>0</v>
      </c>
      <c r="AL72" s="45"/>
      <c r="AM72" s="46"/>
      <c r="AN72" s="54">
        <f t="shared" si="15"/>
        <v>0</v>
      </c>
      <c r="AO72" s="45"/>
      <c r="AP72" s="46"/>
      <c r="AQ72" s="54">
        <f t="shared" si="16"/>
        <v>0</v>
      </c>
      <c r="AR72" s="45"/>
      <c r="AS72" s="46"/>
      <c r="AT72" s="54">
        <f t="shared" si="17"/>
        <v>0</v>
      </c>
      <c r="AU72" s="45"/>
      <c r="AV72" s="46"/>
      <c r="AW72" s="54">
        <f t="shared" si="18"/>
        <v>0</v>
      </c>
      <c r="AX72" s="25"/>
      <c r="AZ72" s="45">
        <f aca="true" t="shared" si="38" ref="AZ72:AZ78">+F72+K72+N72+T72+W72+Z72+AF72+AI72+AL72+AO72+AR72+AU72</f>
        <v>0</v>
      </c>
      <c r="BA72" s="46">
        <f aca="true" t="shared" si="39" ref="BA72:BA78">+G72+L72+O72+U72+X72+AA72+AG72+AJ72+AM72+AP72+AS72+AV72</f>
        <v>0</v>
      </c>
      <c r="BB72" s="54">
        <f t="shared" si="19"/>
        <v>0</v>
      </c>
      <c r="BC72" s="87">
        <f t="shared" si="24"/>
        <v>0</v>
      </c>
      <c r="BD72" s="87">
        <f t="shared" si="25"/>
        <v>0</v>
      </c>
    </row>
    <row r="73" spans="1:60" s="59" customFormat="1" ht="12.75">
      <c r="A73" s="1" t="s">
        <v>80</v>
      </c>
      <c r="B73" s="1"/>
      <c r="C73" s="1"/>
      <c r="D73" s="1"/>
      <c r="E73" s="1" t="s">
        <v>81</v>
      </c>
      <c r="F73" s="42">
        <v>-333.3333333333333</v>
      </c>
      <c r="G73" s="43">
        <f>-300.6-4182</f>
        <v>-4482.6</v>
      </c>
      <c r="H73" s="44">
        <f>F73-G73</f>
        <v>4149.266666666667</v>
      </c>
      <c r="I73" s="43"/>
      <c r="J73" s="43"/>
      <c r="K73" s="45">
        <f>+F73</f>
        <v>-333.3333333333333</v>
      </c>
      <c r="L73" s="46">
        <v>-158.68</v>
      </c>
      <c r="M73" s="43">
        <f>+K73-L73</f>
        <v>-174.6533333333333</v>
      </c>
      <c r="N73" s="45">
        <f>+K73</f>
        <v>-333.3333333333333</v>
      </c>
      <c r="O73" s="46">
        <v>-61.22</v>
      </c>
      <c r="P73" s="44">
        <f aca="true" t="shared" si="40" ref="P73:P80">+N73-O73</f>
        <v>-272.11333333333334</v>
      </c>
      <c r="Q73" s="51">
        <f t="shared" si="34"/>
        <v>-1000</v>
      </c>
      <c r="R73" s="52">
        <f t="shared" si="35"/>
        <v>-4702.500000000001</v>
      </c>
      <c r="S73" s="53">
        <f aca="true" t="shared" si="41" ref="S73:S79">+Q73-R73</f>
        <v>3702.500000000001</v>
      </c>
      <c r="T73" s="46">
        <f>+N73</f>
        <v>-333.3333333333333</v>
      </c>
      <c r="U73" s="46">
        <v>-48.09</v>
      </c>
      <c r="V73" s="54">
        <f t="shared" si="10"/>
        <v>-285.24333333333334</v>
      </c>
      <c r="W73" s="45">
        <f>+T73</f>
        <v>-333.3333333333333</v>
      </c>
      <c r="X73" s="46">
        <v>-43.86</v>
      </c>
      <c r="Y73" s="54">
        <f aca="true" t="shared" si="42" ref="Y73:Y79">+W73-X73</f>
        <v>-289.4733333333333</v>
      </c>
      <c r="Z73" s="45">
        <f>+W73</f>
        <v>-333.3333333333333</v>
      </c>
      <c r="AA73" s="46">
        <v>-42.58</v>
      </c>
      <c r="AB73" s="54">
        <f aca="true" t="shared" si="43" ref="AB73:AB79">+Z73-AA73</f>
        <v>-290.75333333333333</v>
      </c>
      <c r="AC73" s="51">
        <f t="shared" si="36"/>
        <v>-1999.9999999999998</v>
      </c>
      <c r="AD73" s="52">
        <f t="shared" si="37"/>
        <v>-4837.030000000001</v>
      </c>
      <c r="AE73" s="53">
        <f t="shared" si="20"/>
        <v>2837.0300000000007</v>
      </c>
      <c r="AF73" s="45">
        <f>+Z73</f>
        <v>-333.3333333333333</v>
      </c>
      <c r="AG73" s="46">
        <v>-122.54</v>
      </c>
      <c r="AH73" s="54">
        <f t="shared" si="13"/>
        <v>-210.7933333333333</v>
      </c>
      <c r="AI73" s="45">
        <f>+AF73</f>
        <v>-333.3333333333333</v>
      </c>
      <c r="AJ73" s="46">
        <v>-40.01</v>
      </c>
      <c r="AK73" s="54">
        <f t="shared" si="14"/>
        <v>-293.3233333333333</v>
      </c>
      <c r="AL73" s="45">
        <f>+AI73</f>
        <v>-333.3333333333333</v>
      </c>
      <c r="AM73" s="46">
        <v>-38.72</v>
      </c>
      <c r="AN73" s="54">
        <f t="shared" si="15"/>
        <v>-294.61333333333334</v>
      </c>
      <c r="AO73" s="45">
        <f>+AL73</f>
        <v>-333.3333333333333</v>
      </c>
      <c r="AP73" s="46">
        <f>-1568-102.77</f>
        <v>-1670.77</v>
      </c>
      <c r="AQ73" s="54">
        <f t="shared" si="16"/>
        <v>1337.4366666666667</v>
      </c>
      <c r="AR73" s="45">
        <f>+AO73</f>
        <v>-333.3333333333333</v>
      </c>
      <c r="AS73" s="46">
        <v>-36.12</v>
      </c>
      <c r="AT73" s="54">
        <f t="shared" si="17"/>
        <v>-297.2133333333333</v>
      </c>
      <c r="AU73" s="45">
        <f>+AR73</f>
        <v>-333.3333333333333</v>
      </c>
      <c r="AV73" s="46">
        <v>-34.94</v>
      </c>
      <c r="AW73" s="54">
        <f aca="true" t="shared" si="44" ref="AW73:AW78">+AU73-AV73</f>
        <v>-298.3933333333333</v>
      </c>
      <c r="AX73" s="25">
        <f>+F73+K73+N73+T73+W73+Z73+AF73+AI73+AL73+AO73+AR73+AU73</f>
        <v>-4000.0000000000005</v>
      </c>
      <c r="AY73" s="2"/>
      <c r="AZ73" s="45">
        <f t="shared" si="38"/>
        <v>-4000.0000000000005</v>
      </c>
      <c r="BA73" s="46">
        <f t="shared" si="39"/>
        <v>-6780.130000000001</v>
      </c>
      <c r="BB73" s="54">
        <f t="shared" si="19"/>
        <v>2780.1300000000006</v>
      </c>
      <c r="BC73" s="87">
        <f t="shared" si="24"/>
        <v>-0.0023552820277172124</v>
      </c>
      <c r="BD73" s="87">
        <f t="shared" si="25"/>
        <v>-0.0013806567055921319</v>
      </c>
      <c r="BE73" s="5">
        <f t="shared" si="21"/>
        <v>-0.6950325</v>
      </c>
      <c r="BF73" s="6">
        <f t="shared" si="22"/>
        <v>1.6950325000000002</v>
      </c>
      <c r="BG73" s="2"/>
      <c r="BH73" s="2"/>
    </row>
    <row r="74" spans="1:60" s="59" customFormat="1" ht="12.75">
      <c r="A74" s="1" t="s">
        <v>82</v>
      </c>
      <c r="B74" s="1"/>
      <c r="C74" s="1"/>
      <c r="D74" s="1"/>
      <c r="E74" s="70">
        <v>696</v>
      </c>
      <c r="F74" s="42"/>
      <c r="G74" s="43"/>
      <c r="H74" s="44">
        <f>F74-G74</f>
        <v>0</v>
      </c>
      <c r="I74" s="43"/>
      <c r="J74" s="43"/>
      <c r="K74" s="45"/>
      <c r="L74" s="46"/>
      <c r="M74" s="71"/>
      <c r="N74" s="45"/>
      <c r="O74" s="46"/>
      <c r="P74" s="44">
        <f t="shared" si="40"/>
        <v>0</v>
      </c>
      <c r="Q74" s="51">
        <f t="shared" si="34"/>
        <v>0</v>
      </c>
      <c r="R74" s="52">
        <f t="shared" si="35"/>
        <v>0</v>
      </c>
      <c r="S74" s="53">
        <f t="shared" si="41"/>
        <v>0</v>
      </c>
      <c r="T74" s="46"/>
      <c r="U74" s="46"/>
      <c r="V74" s="54">
        <f t="shared" si="10"/>
        <v>0</v>
      </c>
      <c r="W74" s="45"/>
      <c r="X74" s="46"/>
      <c r="Y74" s="54">
        <f t="shared" si="42"/>
        <v>0</v>
      </c>
      <c r="Z74" s="45"/>
      <c r="AA74" s="46"/>
      <c r="AB74" s="54">
        <f t="shared" si="43"/>
        <v>0</v>
      </c>
      <c r="AC74" s="51">
        <f t="shared" si="36"/>
        <v>0</v>
      </c>
      <c r="AD74" s="52">
        <f t="shared" si="37"/>
        <v>0</v>
      </c>
      <c r="AE74" s="53">
        <f>+AC74-AD74</f>
        <v>0</v>
      </c>
      <c r="AF74" s="45"/>
      <c r="AG74" s="46"/>
      <c r="AH74" s="54">
        <f t="shared" si="13"/>
        <v>0</v>
      </c>
      <c r="AI74" s="45"/>
      <c r="AJ74" s="46"/>
      <c r="AK74" s="54">
        <f t="shared" si="14"/>
        <v>0</v>
      </c>
      <c r="AL74" s="45"/>
      <c r="AM74" s="46"/>
      <c r="AN74" s="54">
        <f t="shared" si="15"/>
        <v>0</v>
      </c>
      <c r="AO74" s="45"/>
      <c r="AP74" s="46"/>
      <c r="AQ74" s="54">
        <f t="shared" si="16"/>
        <v>0</v>
      </c>
      <c r="AR74" s="45"/>
      <c r="AS74" s="46"/>
      <c r="AT74" s="54">
        <f t="shared" si="17"/>
        <v>0</v>
      </c>
      <c r="AU74" s="45"/>
      <c r="AV74" s="46"/>
      <c r="AW74" s="54">
        <f t="shared" si="44"/>
        <v>0</v>
      </c>
      <c r="AX74" s="25"/>
      <c r="AY74" s="2"/>
      <c r="AZ74" s="45">
        <f t="shared" si="38"/>
        <v>0</v>
      </c>
      <c r="BA74" s="46">
        <f t="shared" si="39"/>
        <v>0</v>
      </c>
      <c r="BB74" s="54">
        <f t="shared" si="19"/>
        <v>0</v>
      </c>
      <c r="BC74" s="87"/>
      <c r="BD74" s="87"/>
      <c r="BE74" s="5"/>
      <c r="BF74" s="6"/>
      <c r="BG74" s="2"/>
      <c r="BH74" s="2"/>
    </row>
    <row r="75" spans="1:60" s="59" customFormat="1" ht="12.75">
      <c r="A75" s="1" t="s">
        <v>83</v>
      </c>
      <c r="B75" s="1"/>
      <c r="C75" s="1"/>
      <c r="D75" s="1"/>
      <c r="E75" s="70">
        <v>766</v>
      </c>
      <c r="F75" s="42"/>
      <c r="G75" s="43"/>
      <c r="H75" s="44">
        <f>F75-G75</f>
        <v>0</v>
      </c>
      <c r="I75" s="43"/>
      <c r="J75" s="43"/>
      <c r="K75" s="45"/>
      <c r="L75" s="46"/>
      <c r="M75" s="71"/>
      <c r="N75" s="45"/>
      <c r="O75" s="46"/>
      <c r="P75" s="44">
        <f t="shared" si="40"/>
        <v>0</v>
      </c>
      <c r="Q75" s="51">
        <f t="shared" si="34"/>
        <v>0</v>
      </c>
      <c r="R75" s="52">
        <f t="shared" si="35"/>
        <v>0</v>
      </c>
      <c r="S75" s="53">
        <f t="shared" si="41"/>
        <v>0</v>
      </c>
      <c r="T75" s="46"/>
      <c r="U75" s="46"/>
      <c r="V75" s="54">
        <f t="shared" si="10"/>
        <v>0</v>
      </c>
      <c r="W75" s="45"/>
      <c r="X75" s="46"/>
      <c r="Y75" s="54">
        <f t="shared" si="42"/>
        <v>0</v>
      </c>
      <c r="Z75" s="45"/>
      <c r="AA75" s="46"/>
      <c r="AB75" s="54">
        <f t="shared" si="43"/>
        <v>0</v>
      </c>
      <c r="AC75" s="51">
        <f t="shared" si="36"/>
        <v>0</v>
      </c>
      <c r="AD75" s="52">
        <f t="shared" si="37"/>
        <v>0</v>
      </c>
      <c r="AE75" s="53">
        <f>+AC75-AD75</f>
        <v>0</v>
      </c>
      <c r="AF75" s="45"/>
      <c r="AG75" s="46"/>
      <c r="AH75" s="54">
        <f t="shared" si="13"/>
        <v>0</v>
      </c>
      <c r="AI75" s="45"/>
      <c r="AJ75" s="46"/>
      <c r="AK75" s="54">
        <f t="shared" si="14"/>
        <v>0</v>
      </c>
      <c r="AL75" s="45"/>
      <c r="AM75" s="46"/>
      <c r="AN75" s="54">
        <f t="shared" si="15"/>
        <v>0</v>
      </c>
      <c r="AO75" s="45"/>
      <c r="AP75" s="46"/>
      <c r="AQ75" s="54">
        <f t="shared" si="16"/>
        <v>0</v>
      </c>
      <c r="AR75" s="45"/>
      <c r="AS75" s="46"/>
      <c r="AT75" s="54">
        <f t="shared" si="17"/>
        <v>0</v>
      </c>
      <c r="AU75" s="45"/>
      <c r="AV75" s="46"/>
      <c r="AW75" s="54">
        <f t="shared" si="44"/>
        <v>0</v>
      </c>
      <c r="AX75" s="25"/>
      <c r="AY75" s="2"/>
      <c r="AZ75" s="45">
        <f t="shared" si="38"/>
        <v>0</v>
      </c>
      <c r="BA75" s="46">
        <f t="shared" si="39"/>
        <v>0</v>
      </c>
      <c r="BB75" s="54">
        <f t="shared" si="19"/>
        <v>0</v>
      </c>
      <c r="BC75" s="87"/>
      <c r="BD75" s="87"/>
      <c r="BE75" s="5"/>
      <c r="BF75" s="6"/>
      <c r="BG75" s="2"/>
      <c r="BH75" s="2"/>
    </row>
    <row r="76" spans="1:60" s="59" customFormat="1" ht="12.75">
      <c r="A76" s="1" t="s">
        <v>84</v>
      </c>
      <c r="B76" s="1"/>
      <c r="C76" s="1"/>
      <c r="D76" s="1"/>
      <c r="E76" s="72"/>
      <c r="F76" s="42"/>
      <c r="G76" s="43"/>
      <c r="H76" s="44"/>
      <c r="I76" s="43"/>
      <c r="J76" s="43"/>
      <c r="K76" s="45"/>
      <c r="L76" s="46"/>
      <c r="M76" s="71"/>
      <c r="N76" s="45"/>
      <c r="O76" s="46">
        <f>6000-6446.58</f>
        <v>-446.5799999999999</v>
      </c>
      <c r="P76" s="44">
        <f t="shared" si="40"/>
        <v>446.5799999999999</v>
      </c>
      <c r="Q76" s="51">
        <f t="shared" si="34"/>
        <v>0</v>
      </c>
      <c r="R76" s="52">
        <f t="shared" si="35"/>
        <v>-446.5799999999999</v>
      </c>
      <c r="S76" s="53">
        <f t="shared" si="41"/>
        <v>446.5799999999999</v>
      </c>
      <c r="T76" s="46"/>
      <c r="U76" s="46"/>
      <c r="V76" s="54"/>
      <c r="W76" s="45"/>
      <c r="X76" s="46"/>
      <c r="Y76" s="54">
        <f t="shared" si="42"/>
        <v>0</v>
      </c>
      <c r="Z76" s="45"/>
      <c r="AA76" s="46"/>
      <c r="AB76" s="54">
        <f t="shared" si="43"/>
        <v>0</v>
      </c>
      <c r="AC76" s="51">
        <f t="shared" si="36"/>
        <v>0</v>
      </c>
      <c r="AD76" s="52">
        <f t="shared" si="37"/>
        <v>-446.5799999999999</v>
      </c>
      <c r="AE76" s="53">
        <f>+AC76-AD76</f>
        <v>446.5799999999999</v>
      </c>
      <c r="AF76" s="45"/>
      <c r="AG76" s="46"/>
      <c r="AH76" s="54"/>
      <c r="AI76" s="45"/>
      <c r="AJ76" s="46"/>
      <c r="AK76" s="54"/>
      <c r="AL76" s="45"/>
      <c r="AM76" s="46"/>
      <c r="AN76" s="54"/>
      <c r="AO76" s="45"/>
      <c r="AP76" s="46"/>
      <c r="AQ76" s="54"/>
      <c r="AR76" s="45"/>
      <c r="AS76" s="46"/>
      <c r="AT76" s="54"/>
      <c r="AU76" s="45"/>
      <c r="AV76" s="46">
        <v>-100</v>
      </c>
      <c r="AW76" s="54">
        <f t="shared" si="44"/>
        <v>100</v>
      </c>
      <c r="AX76" s="25"/>
      <c r="AY76" s="2"/>
      <c r="AZ76" s="45">
        <f t="shared" si="38"/>
        <v>0</v>
      </c>
      <c r="BA76" s="46">
        <f t="shared" si="39"/>
        <v>-546.5799999999999</v>
      </c>
      <c r="BB76" s="54">
        <f t="shared" si="19"/>
        <v>546.5799999999999</v>
      </c>
      <c r="BC76" s="87">
        <f t="shared" si="24"/>
        <v>-0.0001898709981533796</v>
      </c>
      <c r="BD76" s="87">
        <f t="shared" si="25"/>
        <v>0</v>
      </c>
      <c r="BE76" s="5"/>
      <c r="BF76" s="6"/>
      <c r="BG76" s="2"/>
      <c r="BH76" s="2"/>
    </row>
    <row r="77" spans="6:56" ht="15">
      <c r="F77" s="42"/>
      <c r="G77" s="43"/>
      <c r="H77" s="44"/>
      <c r="I77" s="43"/>
      <c r="J77" s="43"/>
      <c r="K77" s="45"/>
      <c r="L77" s="46"/>
      <c r="M77" s="47"/>
      <c r="N77" s="45"/>
      <c r="O77" s="46"/>
      <c r="P77" s="44">
        <f t="shared" si="40"/>
        <v>0</v>
      </c>
      <c r="Q77" s="51">
        <f t="shared" si="34"/>
        <v>0</v>
      </c>
      <c r="R77" s="52">
        <f t="shared" si="35"/>
        <v>0</v>
      </c>
      <c r="S77" s="53">
        <f t="shared" si="41"/>
        <v>0</v>
      </c>
      <c r="T77" s="46"/>
      <c r="U77" s="46"/>
      <c r="V77" s="54">
        <f t="shared" si="10"/>
        <v>0</v>
      </c>
      <c r="W77" s="45"/>
      <c r="X77" s="46"/>
      <c r="Y77" s="54">
        <f t="shared" si="42"/>
        <v>0</v>
      </c>
      <c r="Z77" s="45"/>
      <c r="AA77" s="46"/>
      <c r="AB77" s="54">
        <f t="shared" si="43"/>
        <v>0</v>
      </c>
      <c r="AC77" s="51">
        <f t="shared" si="36"/>
        <v>0</v>
      </c>
      <c r="AD77" s="52">
        <f t="shared" si="37"/>
        <v>0</v>
      </c>
      <c r="AE77" s="53">
        <f>+AC77-AD77</f>
        <v>0</v>
      </c>
      <c r="AF77" s="45"/>
      <c r="AG77" s="46"/>
      <c r="AH77" s="54">
        <f>+AF77-AG77</f>
        <v>0</v>
      </c>
      <c r="AI77" s="45"/>
      <c r="AJ77" s="46"/>
      <c r="AK77" s="54">
        <f>+AI77-AJ77</f>
        <v>0</v>
      </c>
      <c r="AL77" s="45"/>
      <c r="AM77" s="46"/>
      <c r="AN77" s="54">
        <f>+AL77-AM77</f>
        <v>0</v>
      </c>
      <c r="AO77" s="45"/>
      <c r="AP77" s="46"/>
      <c r="AQ77" s="54">
        <f>+AO77-AP77</f>
        <v>0</v>
      </c>
      <c r="AR77" s="45"/>
      <c r="AS77" s="46"/>
      <c r="AT77" s="54">
        <f>+AR77-AS77</f>
        <v>0</v>
      </c>
      <c r="AU77" s="45"/>
      <c r="AV77" s="46"/>
      <c r="AW77" s="54">
        <f t="shared" si="44"/>
        <v>0</v>
      </c>
      <c r="AX77" s="25"/>
      <c r="AZ77" s="45">
        <f t="shared" si="38"/>
        <v>0</v>
      </c>
      <c r="BA77" s="46">
        <f t="shared" si="39"/>
        <v>0</v>
      </c>
      <c r="BB77" s="54">
        <f>+AZ77-BA77</f>
        <v>0</v>
      </c>
      <c r="BC77" s="87"/>
      <c r="BD77" s="87"/>
    </row>
    <row r="78" spans="1:58" ht="15.75" thickBot="1">
      <c r="A78" s="1" t="s">
        <v>85</v>
      </c>
      <c r="F78" s="42">
        <f>-SUM(F14:F73)+F8</f>
        <v>-15444.433824242442</v>
      </c>
      <c r="G78" s="43">
        <f>-SUM(G12:G73)+G8</f>
        <v>-12532.531060329056</v>
      </c>
      <c r="H78" s="44"/>
      <c r="I78" s="43"/>
      <c r="J78" s="43"/>
      <c r="K78" s="45">
        <f>-SUM(K14:K73)+K8</f>
        <v>10151.848375757603</v>
      </c>
      <c r="L78" s="46">
        <f>-SUM(L12:L73)+L8</f>
        <v>-3507.167000000016</v>
      </c>
      <c r="M78" s="47"/>
      <c r="N78" s="45">
        <f>-SUM(N14:N73)+N8-O76</f>
        <v>-13924.185796242427</v>
      </c>
      <c r="O78" s="46">
        <f>-SUM(O14:O73)+O8+O76</f>
        <v>15230.089999999984</v>
      </c>
      <c r="P78" s="44">
        <f t="shared" si="40"/>
        <v>-29154.27579624241</v>
      </c>
      <c r="Q78" s="51">
        <f t="shared" si="34"/>
        <v>-19216.771244727264</v>
      </c>
      <c r="R78" s="52">
        <f t="shared" si="35"/>
        <v>-809.6080603290884</v>
      </c>
      <c r="S78" s="53">
        <f t="shared" si="41"/>
        <v>-18407.163184398174</v>
      </c>
      <c r="T78" s="46">
        <f>-SUM(T14:T73)+T8</f>
        <v>4482.624286457576</v>
      </c>
      <c r="U78" s="46">
        <f>-SUM(U14:U73)+U8-U76-U74</f>
        <v>-4014.540000000008</v>
      </c>
      <c r="V78" s="54">
        <f>+T78-U78</f>
        <v>8497.164286457584</v>
      </c>
      <c r="W78" s="45">
        <f>-SUM(W14:W73)+W8</f>
        <v>2884.777207357605</v>
      </c>
      <c r="X78" s="46">
        <f>-SUM(X14:X73)+X8</f>
        <v>-12397.969999999972</v>
      </c>
      <c r="Y78" s="54">
        <f t="shared" si="42"/>
        <v>15282.747207357577</v>
      </c>
      <c r="Z78" s="45">
        <f>-SUM(Z14:Z73)+Z8</f>
        <v>-255.05418624239974</v>
      </c>
      <c r="AA78" s="46">
        <f>-SUM(AA14:AA73)+AA8-AA76</f>
        <v>3680.49000000002</v>
      </c>
      <c r="AB78" s="54">
        <f t="shared" si="43"/>
        <v>-3935.5441862424195</v>
      </c>
      <c r="AC78" s="51">
        <f t="shared" si="36"/>
        <v>-12104.423937154485</v>
      </c>
      <c r="AD78" s="52">
        <f t="shared" si="37"/>
        <v>-13541.628060329049</v>
      </c>
      <c r="AE78" s="53">
        <f>+AC78-AD78</f>
        <v>1437.2041231745643</v>
      </c>
      <c r="AF78" s="45">
        <f>-SUM(AF14:AF73)+AF8</f>
        <v>18530.85535375765</v>
      </c>
      <c r="AG78" s="45">
        <f>-SUM(AG14:AG73)+AG8</f>
        <v>-19122.119999999995</v>
      </c>
      <c r="AH78" s="54">
        <f>+AF78-AG78</f>
        <v>37652.97535375765</v>
      </c>
      <c r="AI78" s="45">
        <f>-SUM(AI14:AI73)+AI8</f>
        <v>-41571.170069842425</v>
      </c>
      <c r="AJ78" s="46">
        <f>-SUM(AJ14:AJ73)+AJ8-AJ76-AJ74</f>
        <v>-35014.67000000001</v>
      </c>
      <c r="AK78" s="54">
        <f>+AI78-AJ78</f>
        <v>-6556.500069842412</v>
      </c>
      <c r="AL78" s="73">
        <f>-SUM(AL14:AL73)+AL8</f>
        <v>7424.863802097592</v>
      </c>
      <c r="AM78" s="74">
        <f>-SUM(AM14:AM73)+AM8-AM76-AM74</f>
        <v>13971.560000000027</v>
      </c>
      <c r="AN78" s="75">
        <f>+AL78-AM78</f>
        <v>-6546.6961979024345</v>
      </c>
      <c r="AO78" s="45">
        <f>-SUM(AO14:AO73)+AO8</f>
        <v>15157.644173057633</v>
      </c>
      <c r="AP78" s="46">
        <f>-SUM(AP14:AP73)+AP8</f>
        <v>37287.53000000003</v>
      </c>
      <c r="AQ78" s="54">
        <f>+AO78-AP78</f>
        <v>-22129.885826942394</v>
      </c>
      <c r="AR78" s="73">
        <f>-SUM(AR14:AR73)+AR8</f>
        <v>11872.17717575762</v>
      </c>
      <c r="AS78" s="74">
        <f>-SUM(AS14:AS73)+AS8</f>
        <v>31657.860000000044</v>
      </c>
      <c r="AT78" s="75">
        <f>+AR78-AS78</f>
        <v>-19785.682824242424</v>
      </c>
      <c r="AU78" s="73">
        <f>-SUM(AU14:AU73)+AU8</f>
        <v>20048.73577575764</v>
      </c>
      <c r="AV78" s="74">
        <f>-SUM(AV14:AV77)+AV8</f>
        <v>31367.919999999984</v>
      </c>
      <c r="AW78" s="75">
        <f t="shared" si="44"/>
        <v>-11319.184224242344</v>
      </c>
      <c r="AX78" s="76">
        <f>+F78+K78+N78+T78+W78+Z78+AF78+AI78+AL78+AO78+AR78+AU78</f>
        <v>19358.68227343123</v>
      </c>
      <c r="AZ78" s="73">
        <f t="shared" si="38"/>
        <v>19358.68227343123</v>
      </c>
      <c r="BA78" s="74">
        <f t="shared" si="39"/>
        <v>46606.451939671024</v>
      </c>
      <c r="BB78" s="75">
        <f>+AZ78-BA78</f>
        <v>-27247.769666239794</v>
      </c>
      <c r="BC78" s="87">
        <f t="shared" si="24"/>
        <v>0.016190152494004267</v>
      </c>
      <c r="BD78" s="87">
        <f t="shared" si="25"/>
        <v>0.00668192362306009</v>
      </c>
      <c r="BE78" s="5">
        <f>+(AZ78-BA78)/AZ78</f>
        <v>-1.4075219212433647</v>
      </c>
      <c r="BF78" s="6">
        <f>+BA78/AZ78</f>
        <v>2.4075219212433647</v>
      </c>
    </row>
    <row r="79" spans="1:48" ht="15.75" thickBot="1">
      <c r="A79" s="1" t="s">
        <v>86</v>
      </c>
      <c r="F79" s="42">
        <f>+F78</f>
        <v>-15444.433824242442</v>
      </c>
      <c r="G79" s="43">
        <f>+G78</f>
        <v>-12532.531060329056</v>
      </c>
      <c r="H79" s="44"/>
      <c r="I79" s="43"/>
      <c r="J79" s="43"/>
      <c r="K79" s="45">
        <f>+K78+F79</f>
        <v>-5292.585448484839</v>
      </c>
      <c r="L79" s="46">
        <f>+L78+G79</f>
        <v>-16039.698060329072</v>
      </c>
      <c r="M79" s="47"/>
      <c r="N79" s="45">
        <f>+N78+K79</f>
        <v>-19216.771244727264</v>
      </c>
      <c r="O79" s="46">
        <f>+O78+L79</f>
        <v>-809.6080603290884</v>
      </c>
      <c r="P79" s="44">
        <f t="shared" si="40"/>
        <v>-18407.163184398174</v>
      </c>
      <c r="Q79" s="51"/>
      <c r="R79" s="52"/>
      <c r="S79" s="53">
        <f t="shared" si="41"/>
        <v>0</v>
      </c>
      <c r="T79" s="46">
        <f>+T78+N79</f>
        <v>-14734.146958269688</v>
      </c>
      <c r="U79" s="46">
        <f>+U78+O79</f>
        <v>-4824.148060329097</v>
      </c>
      <c r="V79" s="54"/>
      <c r="W79" s="45">
        <f>+W78+T79</f>
        <v>-11849.369750912083</v>
      </c>
      <c r="X79" s="46">
        <f>+X78+U79</f>
        <v>-17222.11806032907</v>
      </c>
      <c r="Y79" s="54">
        <f t="shared" si="42"/>
        <v>5372.7483094169875</v>
      </c>
      <c r="Z79" s="45">
        <f>+Z78+W79</f>
        <v>-12104.423937154483</v>
      </c>
      <c r="AA79" s="46">
        <f>+AA78+X79</f>
        <v>-13541.62806032905</v>
      </c>
      <c r="AB79" s="54">
        <f t="shared" si="43"/>
        <v>1437.204123174568</v>
      </c>
      <c r="AC79" s="51"/>
      <c r="AD79" s="52"/>
      <c r="AE79" s="53">
        <f>+AE78/AD8</f>
        <v>0.0010606479465654626</v>
      </c>
      <c r="AF79" s="45">
        <f>+AF78+Z79</f>
        <v>6426.431416603169</v>
      </c>
      <c r="AG79" s="46">
        <f>+AG78+AD78</f>
        <v>-32663.748060329046</v>
      </c>
      <c r="AH79" s="54"/>
      <c r="AI79" s="45">
        <f>+AI78+AF79</f>
        <v>-35144.738653239256</v>
      </c>
      <c r="AJ79" s="46">
        <f>+AJ78+AG79</f>
        <v>-67678.41806032906</v>
      </c>
      <c r="AK79" s="54"/>
      <c r="AL79" s="45">
        <f>+AL78+AI79</f>
        <v>-27719.874851141663</v>
      </c>
      <c r="AM79" s="46">
        <f>+AM78+AJ79</f>
        <v>-53706.85806032903</v>
      </c>
      <c r="AN79" s="54"/>
      <c r="AO79" s="55">
        <f>+AO78+AL79</f>
        <v>-12562.23067808403</v>
      </c>
      <c r="AP79" s="56">
        <f>+AP78+AM79</f>
        <v>-16419.328060329004</v>
      </c>
      <c r="AQ79" s="57"/>
      <c r="AR79" s="2">
        <f>+AR78+AO79</f>
        <v>-690.0535023264092</v>
      </c>
      <c r="AS79" s="2">
        <f>+AS78+AP79</f>
        <v>15238.53193967104</v>
      </c>
      <c r="AU79" s="2">
        <f>+AU78+AR79</f>
        <v>19358.68227343123</v>
      </c>
      <c r="AV79" s="2">
        <f>+AV78+AS79</f>
        <v>46606.451939671024</v>
      </c>
    </row>
    <row r="80" spans="6:45" ht="15.75" thickBot="1">
      <c r="F80" s="77"/>
      <c r="G80" s="78"/>
      <c r="H80" s="79"/>
      <c r="I80" s="78"/>
      <c r="J80" s="78"/>
      <c r="K80" s="73"/>
      <c r="L80" s="74"/>
      <c r="M80" s="80"/>
      <c r="N80" s="81"/>
      <c r="O80" s="82"/>
      <c r="P80" s="83">
        <f t="shared" si="40"/>
        <v>0</v>
      </c>
      <c r="Q80" s="84"/>
      <c r="R80" s="85"/>
      <c r="S80" s="86"/>
      <c r="T80" s="74"/>
      <c r="U80" s="74"/>
      <c r="V80" s="75"/>
      <c r="W80" s="73"/>
      <c r="X80" s="74"/>
      <c r="Y80" s="75"/>
      <c r="Z80" s="73"/>
      <c r="AA80" s="74"/>
      <c r="AB80" s="75"/>
      <c r="AC80" s="84"/>
      <c r="AD80" s="85"/>
      <c r="AE80" s="86"/>
      <c r="AF80" s="73"/>
      <c r="AG80" s="74"/>
      <c r="AH80" s="75"/>
      <c r="AI80" s="73"/>
      <c r="AJ80" s="74"/>
      <c r="AK80" s="75"/>
      <c r="AL80" s="73"/>
      <c r="AM80" s="74"/>
      <c r="AN80" s="75"/>
      <c r="AS80" s="4"/>
    </row>
    <row r="85" spans="8:10" ht="15">
      <c r="H85" s="89"/>
      <c r="I85" s="89"/>
      <c r="J85" s="8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8" width="11.421875" style="1" customWidth="1"/>
    <col min="9" max="10" width="11.421875" style="2" customWidth="1"/>
    <col min="11" max="11" width="11.421875" style="3" customWidth="1"/>
    <col min="12" max="63" width="11.421875" style="2" customWidth="1"/>
    <col min="64" max="64" width="11.421875" style="4" customWidth="1"/>
    <col min="65" max="81" width="11.421875" style="2" customWidth="1"/>
    <col min="82" max="82" width="11.421875" style="5" customWidth="1"/>
    <col min="83" max="83" width="11.421875" style="6" customWidth="1"/>
    <col min="84" max="85" width="11.421875" style="2" customWidth="1"/>
    <col min="86" max="16384" width="11.421875" style="3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</dc:creator>
  <cp:keywords/>
  <dc:description/>
  <cp:lastModifiedBy>COMPAL</cp:lastModifiedBy>
  <cp:lastPrinted>2010-12-07T17:58:33Z</cp:lastPrinted>
  <dcterms:created xsi:type="dcterms:W3CDTF">2010-02-28T20:24:50Z</dcterms:created>
  <dcterms:modified xsi:type="dcterms:W3CDTF">2020-05-25T06:35:25Z</dcterms:modified>
  <cp:category/>
  <cp:version/>
  <cp:contentType/>
  <cp:contentStatus/>
</cp:coreProperties>
</file>